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barlow/Library/Mobile Documents/com~apple~CloudDocs/The Jump Outs/Website Files/"/>
    </mc:Choice>
  </mc:AlternateContent>
  <xr:revisionPtr revIDLastSave="0" documentId="13_ncr:1_{BA25D69E-8242-1145-9763-33F3DA373012}" xr6:coauthVersionLast="45" xr6:coauthVersionMax="45" xr10:uidLastSave="{00000000-0000-0000-0000-000000000000}"/>
  <bookViews>
    <workbookView xWindow="0" yWindow="500" windowWidth="38400" windowHeight="21100" activeTab="3" xr2:uid="{BFA75E41-F173-5E43-8B1D-DFFA3FE153E8}"/>
  </bookViews>
  <sheets>
    <sheet name="Blackbook Overview" sheetId="12" r:id="rId1"/>
    <sheet name="Blackbook Results" sheetId="13" r:id="rId2"/>
    <sheet name="Tips Overview" sheetId="21" r:id="rId3"/>
    <sheet name="Tips Results" sheetId="2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2" l="1"/>
  <c r="J13" i="12"/>
  <c r="J11" i="12"/>
  <c r="S19" i="21"/>
  <c r="S17" i="21"/>
  <c r="S16" i="21"/>
  <c r="S14" i="21"/>
  <c r="S13" i="21"/>
  <c r="S11" i="21"/>
  <c r="P19" i="21"/>
  <c r="P17" i="21"/>
  <c r="P14" i="21"/>
  <c r="P11" i="21"/>
  <c r="P13" i="21"/>
  <c r="P16" i="21"/>
  <c r="P10" i="21"/>
  <c r="O67" i="22" l="1"/>
  <c r="Q67" i="22" s="1"/>
  <c r="M67" i="22"/>
  <c r="T67" i="22" l="1"/>
  <c r="V67" i="22"/>
  <c r="W67" i="22" s="1"/>
  <c r="Q66" i="22"/>
  <c r="T66" i="22"/>
  <c r="V66" i="22"/>
  <c r="Q65" i="22"/>
  <c r="T65" i="22"/>
  <c r="V65" i="22"/>
  <c r="X65" i="22" s="1"/>
  <c r="Q63" i="22"/>
  <c r="T63" i="22"/>
  <c r="V63" i="22"/>
  <c r="Q64" i="22"/>
  <c r="T64" i="22"/>
  <c r="V64" i="22"/>
  <c r="Q62" i="22"/>
  <c r="T62" i="22"/>
  <c r="V62" i="22"/>
  <c r="Q61" i="22"/>
  <c r="T61" i="22"/>
  <c r="V61" i="22"/>
  <c r="X66" i="22" l="1"/>
  <c r="X62" i="22"/>
  <c r="X67" i="22"/>
  <c r="X63" i="22"/>
  <c r="X61" i="22"/>
  <c r="W64" i="22"/>
  <c r="X64" i="22" s="1"/>
  <c r="Q171" i="13"/>
  <c r="Q170" i="13"/>
  <c r="Q169" i="13"/>
  <c r="Q168" i="13" l="1"/>
  <c r="Q167" i="13"/>
  <c r="Q166" i="13"/>
  <c r="Q60" i="22" l="1"/>
  <c r="T60" i="22"/>
  <c r="V60" i="22"/>
  <c r="X60" i="22" l="1"/>
  <c r="Q164" i="13"/>
  <c r="Q165" i="13"/>
  <c r="Q163" i="13"/>
  <c r="Q162" i="13" l="1"/>
  <c r="Q161" i="13" l="1"/>
  <c r="Q160" i="13"/>
  <c r="Q159" i="13" l="1"/>
  <c r="Q158" i="13" l="1"/>
  <c r="Q59" i="22" l="1"/>
  <c r="T59" i="22"/>
  <c r="V59" i="22"/>
  <c r="X59" i="22" l="1"/>
  <c r="Q58" i="22" l="1"/>
  <c r="T58" i="22"/>
  <c r="V58" i="22"/>
  <c r="W58" i="22" s="1"/>
  <c r="Q57" i="22"/>
  <c r="T57" i="22"/>
  <c r="V57" i="22"/>
  <c r="Q56" i="22"/>
  <c r="T56" i="22"/>
  <c r="V56" i="22"/>
  <c r="Q55" i="22"/>
  <c r="T55" i="22"/>
  <c r="V55" i="22"/>
  <c r="Q54" i="22"/>
  <c r="T54" i="22"/>
  <c r="V54" i="22"/>
  <c r="Q53" i="22"/>
  <c r="T53" i="22"/>
  <c r="V53" i="22"/>
  <c r="Q52" i="22"/>
  <c r="T52" i="22"/>
  <c r="V52" i="22"/>
  <c r="X53" i="22" l="1"/>
  <c r="X56" i="22"/>
  <c r="X58" i="22"/>
  <c r="X54" i="22"/>
  <c r="X57" i="22"/>
  <c r="X52" i="22"/>
  <c r="X55" i="22"/>
  <c r="Q157" i="13"/>
  <c r="Q51" i="22" l="1"/>
  <c r="T51" i="22"/>
  <c r="V51" i="22"/>
  <c r="X51" i="22" l="1"/>
  <c r="Q156" i="13"/>
  <c r="Q155" i="13"/>
  <c r="Q154" i="13"/>
  <c r="Q153" i="13" l="1"/>
  <c r="Q152" i="13"/>
  <c r="Q151" i="13"/>
  <c r="Q150" i="13"/>
  <c r="Q149" i="13" l="1"/>
  <c r="Q148" i="13"/>
  <c r="Q50" i="22"/>
  <c r="T50" i="22"/>
  <c r="V50" i="22"/>
  <c r="Q49" i="22"/>
  <c r="T49" i="22"/>
  <c r="W49" i="22" s="1"/>
  <c r="V49" i="22"/>
  <c r="X50" i="22" l="1"/>
  <c r="X49" i="22"/>
  <c r="Q147" i="13" l="1"/>
  <c r="Q146" i="13"/>
  <c r="Q48" i="22"/>
  <c r="T48" i="22"/>
  <c r="V48" i="22"/>
  <c r="X48" i="22" s="1"/>
  <c r="Q144" i="13" l="1"/>
  <c r="Q145" i="13"/>
  <c r="Q47" i="22" l="1"/>
  <c r="T47" i="22"/>
  <c r="V47" i="22"/>
  <c r="T46" i="22"/>
  <c r="W46" i="22" s="1"/>
  <c r="V46" i="22"/>
  <c r="Q45" i="22"/>
  <c r="T45" i="22"/>
  <c r="W45" i="22" s="1"/>
  <c r="V45" i="22"/>
  <c r="Q44" i="22"/>
  <c r="T44" i="22"/>
  <c r="V44" i="22"/>
  <c r="Q43" i="22"/>
  <c r="T43" i="22"/>
  <c r="V43" i="22"/>
  <c r="X43" i="22" l="1"/>
  <c r="X46" i="22"/>
  <c r="W47" i="22"/>
  <c r="X47" i="22" s="1"/>
  <c r="X44" i="22"/>
  <c r="X45" i="22"/>
  <c r="Q46" i="22"/>
  <c r="Q143" i="13" l="1"/>
  <c r="Q142" i="13"/>
  <c r="Q141" i="13"/>
  <c r="Q140" i="13"/>
  <c r="Q139" i="13" l="1"/>
  <c r="Q138" i="13"/>
  <c r="Q41" i="22" l="1"/>
  <c r="T41" i="22"/>
  <c r="V41" i="22"/>
  <c r="X41" i="22" s="1"/>
  <c r="Q42" i="22"/>
  <c r="T42" i="22"/>
  <c r="V42" i="22"/>
  <c r="Q137" i="13"/>
  <c r="X42" i="22" l="1"/>
  <c r="Q136" i="13" l="1"/>
  <c r="Q135" i="13"/>
  <c r="K30" i="21" l="1"/>
  <c r="K31" i="21"/>
  <c r="L30" i="21"/>
  <c r="L31" i="21"/>
  <c r="D31" i="21"/>
  <c r="E31" i="21"/>
  <c r="E30" i="21"/>
  <c r="D30" i="21"/>
  <c r="D12" i="21"/>
  <c r="D11" i="21"/>
  <c r="D10" i="21"/>
  <c r="D9" i="21"/>
  <c r="E8" i="21"/>
  <c r="D8" i="21"/>
  <c r="K9" i="21"/>
  <c r="K8" i="21"/>
  <c r="Q134" i="13"/>
  <c r="Q133" i="13"/>
  <c r="Q132" i="13"/>
  <c r="S10" i="21" l="1"/>
  <c r="Q14" i="21"/>
  <c r="Q13" i="21"/>
  <c r="T14" i="21"/>
  <c r="T13" i="21"/>
  <c r="D13" i="21"/>
  <c r="E12" i="21"/>
  <c r="E11" i="21"/>
  <c r="E10" i="21"/>
  <c r="E9" i="21"/>
  <c r="V40" i="22" l="1"/>
  <c r="Q131" i="13" l="1"/>
  <c r="S38" i="22"/>
  <c r="U38" i="22"/>
  <c r="O38" i="22"/>
  <c r="L21" i="21" s="1"/>
  <c r="M38" i="22"/>
  <c r="Q40" i="22"/>
  <c r="T40" i="22"/>
  <c r="X40" i="22" s="1"/>
  <c r="Q39" i="22"/>
  <c r="T39" i="22"/>
  <c r="V39" i="22"/>
  <c r="X39" i="22" l="1"/>
  <c r="M35" i="22" l="1"/>
  <c r="K20" i="21" l="1"/>
  <c r="E20" i="21"/>
  <c r="Q38" i="22"/>
  <c r="T38" i="22"/>
  <c r="V38" i="22"/>
  <c r="X38" i="22" l="1"/>
  <c r="Q130" i="13" l="1"/>
  <c r="Q129" i="13"/>
  <c r="Q128" i="13"/>
  <c r="Q127" i="13"/>
  <c r="Q37" i="22" l="1"/>
  <c r="T37" i="22"/>
  <c r="W37" i="22" s="1"/>
  <c r="V37" i="22"/>
  <c r="Q36" i="22"/>
  <c r="T36" i="22"/>
  <c r="V36" i="22"/>
  <c r="Q35" i="22"/>
  <c r="T35" i="22"/>
  <c r="W35" i="22" s="1"/>
  <c r="V35" i="22"/>
  <c r="Q34" i="22"/>
  <c r="T34" i="22"/>
  <c r="W34" i="22" s="1"/>
  <c r="V34" i="22"/>
  <c r="Q33" i="22"/>
  <c r="T33" i="22"/>
  <c r="V33" i="22"/>
  <c r="X37" i="22" l="1"/>
  <c r="W33" i="22"/>
  <c r="X33" i="22" s="1"/>
  <c r="X35" i="22"/>
  <c r="X36" i="22"/>
  <c r="X34" i="22"/>
  <c r="Q126" i="13" l="1"/>
  <c r="Q125" i="13"/>
  <c r="Q32" i="22"/>
  <c r="T32" i="22"/>
  <c r="V32" i="22"/>
  <c r="Q31" i="22"/>
  <c r="T31" i="22"/>
  <c r="W31" i="22" s="1"/>
  <c r="V31" i="22"/>
  <c r="X31" i="22" l="1"/>
  <c r="X32" i="22"/>
  <c r="Q30" i="22"/>
  <c r="T30" i="22"/>
  <c r="V30" i="22"/>
  <c r="Q29" i="22"/>
  <c r="T29" i="22"/>
  <c r="W29" i="22" s="1"/>
  <c r="V29" i="22"/>
  <c r="Q28" i="22"/>
  <c r="T28" i="22"/>
  <c r="V28" i="22"/>
  <c r="Q27" i="22"/>
  <c r="T27" i="22"/>
  <c r="V27" i="22"/>
  <c r="X30" i="22" l="1"/>
  <c r="X29" i="22"/>
  <c r="X27" i="22"/>
  <c r="X28" i="22"/>
  <c r="Q24" i="22"/>
  <c r="T24" i="22"/>
  <c r="W24" i="22" s="1"/>
  <c r="V24" i="22"/>
  <c r="Q25" i="22"/>
  <c r="T25" i="22"/>
  <c r="V25" i="22"/>
  <c r="X25" i="22" s="1"/>
  <c r="X24" i="22" l="1"/>
  <c r="Q26" i="22"/>
  <c r="T26" i="22"/>
  <c r="V26" i="22"/>
  <c r="X26" i="22" l="1"/>
  <c r="Q124" i="13"/>
  <c r="Q123" i="13"/>
  <c r="Q122" i="13"/>
  <c r="T23" i="22" l="1"/>
  <c r="Q23" i="22" l="1"/>
  <c r="V23" i="22"/>
  <c r="X23" i="22" s="1"/>
  <c r="Q22" i="22"/>
  <c r="T22" i="22"/>
  <c r="V22" i="22"/>
  <c r="X22" i="22"/>
  <c r="Q21" i="22"/>
  <c r="T21" i="22"/>
  <c r="V21" i="22"/>
  <c r="Q20" i="22"/>
  <c r="T20" i="22"/>
  <c r="V20" i="22"/>
  <c r="X20" i="22" l="1"/>
  <c r="X21" i="22"/>
  <c r="Q19" i="22" l="1"/>
  <c r="T19" i="22"/>
  <c r="V19" i="22"/>
  <c r="X19" i="22" l="1"/>
  <c r="Q18" i="22"/>
  <c r="T18" i="22"/>
  <c r="V18" i="22"/>
  <c r="X18" i="22" l="1"/>
  <c r="Q121" i="13"/>
  <c r="Q120" i="13"/>
  <c r="Q119" i="13"/>
  <c r="Q118" i="13"/>
  <c r="L12" i="21" l="1"/>
  <c r="L10" i="21"/>
  <c r="L11" i="21"/>
  <c r="L9" i="21"/>
  <c r="Q117" i="13"/>
  <c r="Q115" i="13" l="1"/>
  <c r="Q116" i="13"/>
  <c r="Q114" i="13"/>
  <c r="M6" i="22"/>
  <c r="L20" i="21" l="1"/>
  <c r="D20" i="21"/>
  <c r="E21" i="21"/>
  <c r="D21" i="21"/>
  <c r="C21" i="21"/>
  <c r="K21" i="21"/>
  <c r="Q7" i="22"/>
  <c r="T7" i="22"/>
  <c r="V7" i="22"/>
  <c r="Q8" i="22"/>
  <c r="T8" i="22"/>
  <c r="V8" i="22"/>
  <c r="Q9" i="22"/>
  <c r="T9" i="22"/>
  <c r="V9" i="22"/>
  <c r="Q10" i="22"/>
  <c r="T10" i="22"/>
  <c r="V10" i="22"/>
  <c r="Q11" i="22"/>
  <c r="T11" i="22"/>
  <c r="V11" i="22"/>
  <c r="Q12" i="22"/>
  <c r="T12" i="22"/>
  <c r="V12" i="22"/>
  <c r="Q13" i="22"/>
  <c r="T13" i="22"/>
  <c r="V13" i="22"/>
  <c r="Q14" i="22"/>
  <c r="T14" i="22"/>
  <c r="V14" i="22"/>
  <c r="Q15" i="22"/>
  <c r="T15" i="22"/>
  <c r="V15" i="22"/>
  <c r="Q16" i="22"/>
  <c r="T16" i="22"/>
  <c r="V16" i="22"/>
  <c r="W16" i="22" s="1"/>
  <c r="Q17" i="22"/>
  <c r="T17" i="22"/>
  <c r="W17" i="22" s="1"/>
  <c r="V17" i="22"/>
  <c r="X16" i="22" l="1"/>
  <c r="X17" i="22"/>
  <c r="X11" i="22"/>
  <c r="X7" i="22"/>
  <c r="X15" i="22"/>
  <c r="X14" i="22"/>
  <c r="X10" i="22"/>
  <c r="X13" i="22"/>
  <c r="X12" i="22"/>
  <c r="X8" i="22"/>
  <c r="X9" i="22"/>
  <c r="Q113" i="13" l="1"/>
  <c r="Q6" i="22" l="1"/>
  <c r="Q5" i="22"/>
  <c r="Q4" i="22"/>
  <c r="R4" i="22" l="1"/>
  <c r="Q112" i="13" l="1"/>
  <c r="Q111" i="13"/>
  <c r="Q110" i="13"/>
  <c r="Q109" i="13"/>
  <c r="Q108" i="13"/>
  <c r="G2" i="21" l="1"/>
  <c r="G1" i="21" s="1"/>
  <c r="G30" i="21" l="1"/>
  <c r="G31" i="21"/>
  <c r="G8" i="21"/>
  <c r="G20" i="21"/>
  <c r="G12" i="21"/>
  <c r="G11" i="21"/>
  <c r="G10" i="21"/>
  <c r="G9" i="21"/>
  <c r="G21" i="21"/>
  <c r="G23" i="21"/>
  <c r="G26" i="12"/>
  <c r="G23" i="12"/>
  <c r="G24" i="12" s="1"/>
  <c r="G25" i="12" s="1"/>
  <c r="G21" i="12"/>
  <c r="G20" i="12"/>
  <c r="Q107" i="13"/>
  <c r="Q106" i="13"/>
  <c r="G24" i="21" l="1"/>
  <c r="G26" i="21" s="1"/>
  <c r="G25" i="21" l="1"/>
  <c r="Q105" i="13"/>
  <c r="Q104" i="13"/>
  <c r="Q103" i="13" l="1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T4" i="22" l="1"/>
  <c r="V6" i="22"/>
  <c r="T6" i="22"/>
  <c r="X6" i="22" s="1"/>
  <c r="V5" i="22"/>
  <c r="T5" i="22"/>
  <c r="V4" i="22"/>
  <c r="R5" i="22"/>
  <c r="D23" i="21"/>
  <c r="D24" i="21" s="1"/>
  <c r="D26" i="21" s="1"/>
  <c r="E23" i="21"/>
  <c r="E24" i="21" s="1"/>
  <c r="E26" i="21" s="1"/>
  <c r="C20" i="21"/>
  <c r="K23" i="21"/>
  <c r="K24" i="21" s="1"/>
  <c r="K33" i="21"/>
  <c r="K12" i="21"/>
  <c r="K11" i="21"/>
  <c r="K10" i="21"/>
  <c r="L13" i="21"/>
  <c r="E33" i="21"/>
  <c r="C31" i="21"/>
  <c r="C30" i="21"/>
  <c r="X5" i="22" l="1"/>
  <c r="T19" i="21"/>
  <c r="K26" i="21"/>
  <c r="L23" i="21"/>
  <c r="L24" i="21" s="1"/>
  <c r="Q19" i="21" s="1"/>
  <c r="K13" i="21"/>
  <c r="W4" i="22"/>
  <c r="X4" i="22" s="1"/>
  <c r="Y4" i="22" s="1"/>
  <c r="D33" i="21"/>
  <c r="L33" i="21"/>
  <c r="G33" i="21"/>
  <c r="C23" i="21"/>
  <c r="C33" i="21"/>
  <c r="K15" i="21"/>
  <c r="R6" i="22"/>
  <c r="R7" i="22" s="1"/>
  <c r="R8" i="22" s="1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E34" i="21"/>
  <c r="E36" i="21" s="1"/>
  <c r="K34" i="21"/>
  <c r="K36" i="21" s="1"/>
  <c r="D25" i="21"/>
  <c r="L16" i="21"/>
  <c r="L15" i="21"/>
  <c r="K16" i="21"/>
  <c r="Q10" i="21" l="1"/>
  <c r="Q11" i="21"/>
  <c r="T11" i="21"/>
  <c r="T10" i="21"/>
  <c r="T16" i="21"/>
  <c r="L26" i="21"/>
  <c r="Q16" i="21" s="1"/>
  <c r="C24" i="21"/>
  <c r="C25" i="21" s="1"/>
  <c r="C34" i="21"/>
  <c r="R24" i="22"/>
  <c r="R25" i="22" s="1"/>
  <c r="R26" i="22" s="1"/>
  <c r="R27" i="22" s="1"/>
  <c r="R28" i="22" s="1"/>
  <c r="R29" i="22" s="1"/>
  <c r="R30" i="22" s="1"/>
  <c r="R31" i="22" s="1"/>
  <c r="R32" i="22" s="1"/>
  <c r="R33" i="22" s="1"/>
  <c r="R34" i="22" s="1"/>
  <c r="R35" i="22" s="1"/>
  <c r="R36" i="22" s="1"/>
  <c r="R37" i="22" s="1"/>
  <c r="R38" i="22" s="1"/>
  <c r="R39" i="22" s="1"/>
  <c r="R40" i="22" s="1"/>
  <c r="R41" i="22" s="1"/>
  <c r="R42" i="22" s="1"/>
  <c r="R43" i="22" s="1"/>
  <c r="R44" i="22" s="1"/>
  <c r="R45" i="22" s="1"/>
  <c r="R46" i="22" s="1"/>
  <c r="R47" i="22" s="1"/>
  <c r="R48" i="22" s="1"/>
  <c r="R49" i="22" s="1"/>
  <c r="R50" i="22" s="1"/>
  <c r="R51" i="22" s="1"/>
  <c r="R52" i="22" s="1"/>
  <c r="R53" i="22" s="1"/>
  <c r="R54" i="22" s="1"/>
  <c r="R55" i="22" s="1"/>
  <c r="R56" i="22" s="1"/>
  <c r="R57" i="22" s="1"/>
  <c r="R58" i="22" s="1"/>
  <c r="R59" i="22" s="1"/>
  <c r="R60" i="22" s="1"/>
  <c r="R61" i="22" s="1"/>
  <c r="R62" i="22" s="1"/>
  <c r="R63" i="22" s="1"/>
  <c r="R64" i="22" s="1"/>
  <c r="R65" i="22" s="1"/>
  <c r="R66" i="22" s="1"/>
  <c r="R67" i="22" s="1"/>
  <c r="L34" i="21"/>
  <c r="D34" i="21"/>
  <c r="Y5" i="22"/>
  <c r="Y6" i="22" s="1"/>
  <c r="Y7" i="22" s="1"/>
  <c r="Y8" i="22" s="1"/>
  <c r="Y9" i="22" s="1"/>
  <c r="Y10" i="22" s="1"/>
  <c r="Y11" i="22" s="1"/>
  <c r="Y12" i="22" s="1"/>
  <c r="Y13" i="22" s="1"/>
  <c r="Y14" i="22" s="1"/>
  <c r="Y15" i="22" s="1"/>
  <c r="Y16" i="22" s="1"/>
  <c r="Y17" i="22" s="1"/>
  <c r="Y18" i="22" s="1"/>
  <c r="Y19" i="22" s="1"/>
  <c r="Y20" i="22" s="1"/>
  <c r="Y21" i="22" s="1"/>
  <c r="Y22" i="22" s="1"/>
  <c r="Y23" i="22" s="1"/>
  <c r="G34" i="21"/>
  <c r="G36" i="21" s="1"/>
  <c r="K35" i="21"/>
  <c r="K25" i="21"/>
  <c r="E25" i="21"/>
  <c r="E35" i="21"/>
  <c r="T17" i="21" l="1"/>
  <c r="C26" i="21"/>
  <c r="L35" i="21"/>
  <c r="L36" i="21"/>
  <c r="C35" i="21"/>
  <c r="C36" i="21"/>
  <c r="D35" i="21"/>
  <c r="D36" i="21"/>
  <c r="Y24" i="22"/>
  <c r="Y25" i="22" s="1"/>
  <c r="Y26" i="22" s="1"/>
  <c r="Y27" i="22" s="1"/>
  <c r="Y28" i="22" s="1"/>
  <c r="Y29" i="22" s="1"/>
  <c r="Y30" i="22" s="1"/>
  <c r="Y31" i="22" s="1"/>
  <c r="Y32" i="22" s="1"/>
  <c r="Y33" i="22" s="1"/>
  <c r="Y34" i="22" s="1"/>
  <c r="Y35" i="22" s="1"/>
  <c r="Y36" i="22" s="1"/>
  <c r="Y37" i="22" s="1"/>
  <c r="Y38" i="22" s="1"/>
  <c r="Y39" i="22" s="1"/>
  <c r="Y40" i="22" s="1"/>
  <c r="Y41" i="22" s="1"/>
  <c r="Y42" i="22" s="1"/>
  <c r="Y43" i="22" s="1"/>
  <c r="Y44" i="22" s="1"/>
  <c r="Y45" i="22" s="1"/>
  <c r="Y46" i="22" s="1"/>
  <c r="Y47" i="22" s="1"/>
  <c r="Y48" i="22" s="1"/>
  <c r="Y49" i="22" s="1"/>
  <c r="Y50" i="22" s="1"/>
  <c r="Y51" i="22" s="1"/>
  <c r="Y52" i="22" s="1"/>
  <c r="Y53" i="22" s="1"/>
  <c r="Y54" i="22" s="1"/>
  <c r="Y55" i="22" s="1"/>
  <c r="Y56" i="22" s="1"/>
  <c r="Y57" i="22" s="1"/>
  <c r="Y58" i="22" s="1"/>
  <c r="Y59" i="22" s="1"/>
  <c r="Y60" i="22" s="1"/>
  <c r="Y61" i="22" s="1"/>
  <c r="Y62" i="22" s="1"/>
  <c r="Y63" i="22" s="1"/>
  <c r="Y64" i="22" s="1"/>
  <c r="Y65" i="22" s="1"/>
  <c r="Y66" i="22" s="1"/>
  <c r="Y67" i="22" s="1"/>
  <c r="G35" i="21"/>
  <c r="L25" i="21"/>
  <c r="Q17" i="21" l="1"/>
  <c r="B5" i="22" l="1"/>
  <c r="B6" i="22" l="1"/>
  <c r="B7" i="22" s="1"/>
  <c r="B8" i="22" s="1"/>
  <c r="B9" i="22" l="1"/>
  <c r="B10" i="22" l="1"/>
  <c r="B11" i="22" s="1"/>
  <c r="B12" i="22" l="1"/>
  <c r="B13" i="22" l="1"/>
  <c r="B14" i="22" s="1"/>
  <c r="B15" i="22" s="1"/>
  <c r="B16" i="22" l="1"/>
  <c r="B17" i="22" l="1"/>
  <c r="B18" i="22" l="1"/>
  <c r="B19" i="22" l="1"/>
  <c r="B20" i="22" s="1"/>
  <c r="B21" i="22" s="1"/>
  <c r="B22" i="22" l="1"/>
  <c r="B23" i="22" l="1"/>
  <c r="B24" i="22" s="1"/>
  <c r="B25" i="22" l="1"/>
  <c r="B26" i="22" s="1"/>
  <c r="B27" i="22" s="1"/>
  <c r="B28" i="22" s="1"/>
  <c r="B29" i="22" s="1"/>
  <c r="B30" i="22" s="1"/>
  <c r="C10" i="21"/>
  <c r="B31" i="22" l="1"/>
  <c r="B32" i="22" l="1"/>
  <c r="D15" i="21"/>
  <c r="D16" i="21"/>
  <c r="B33" i="22" l="1"/>
  <c r="C11" i="21" l="1"/>
  <c r="B34" i="22"/>
  <c r="B35" i="22" l="1"/>
  <c r="B36" i="22" l="1"/>
  <c r="C8" i="21"/>
  <c r="G13" i="21" l="1"/>
  <c r="C9" i="21"/>
  <c r="G15" i="21"/>
  <c r="G16" i="21"/>
  <c r="B37" i="22"/>
  <c r="B38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C12" i="21" l="1"/>
  <c r="E13" i="21"/>
  <c r="C13" i="21" s="1"/>
  <c r="E16" i="21"/>
  <c r="E15" i="21"/>
  <c r="C16" i="21" l="1"/>
  <c r="C15" i="21"/>
  <c r="F23" i="12" l="1"/>
  <c r="F21" i="12"/>
  <c r="F20" i="12"/>
  <c r="F12" i="12"/>
  <c r="Q37" i="13" l="1"/>
  <c r="F26" i="12" l="1"/>
  <c r="F24" i="12"/>
  <c r="F25" i="12" s="1"/>
  <c r="Q69" i="13" l="1"/>
  <c r="Q68" i="13" l="1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21" i="13" l="1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E23" i="12" l="1"/>
  <c r="E21" i="12"/>
  <c r="E20" i="12"/>
  <c r="E26" i="12" l="1"/>
  <c r="E24" i="12"/>
  <c r="E25" i="12" s="1"/>
  <c r="D21" i="12" l="1"/>
  <c r="C21" i="12"/>
  <c r="K14" i="12" s="1"/>
  <c r="D23" i="12" l="1"/>
  <c r="C20" i="12"/>
  <c r="K13" i="12" s="1"/>
  <c r="D20" i="12"/>
  <c r="R4" i="13" l="1"/>
  <c r="C23" i="12"/>
  <c r="R5" i="13" l="1"/>
  <c r="R6" i="13" s="1"/>
  <c r="R7" i="13" s="1"/>
  <c r="D26" i="12"/>
  <c r="D24" i="12"/>
  <c r="D25" i="12" s="1"/>
  <c r="C24" i="12"/>
  <c r="C25" i="12" s="1"/>
  <c r="C26" i="12"/>
  <c r="R8" i="13" l="1"/>
  <c r="R9" i="13" s="1"/>
  <c r="R10" i="13" s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R47" i="13" s="1"/>
  <c r="R48" i="13" s="1"/>
  <c r="R49" i="13" s="1"/>
  <c r="R50" i="13" s="1"/>
  <c r="R51" i="13" s="1"/>
  <c r="R52" i="13" s="1"/>
  <c r="R53" i="13" s="1"/>
  <c r="R54" i="13" s="1"/>
  <c r="R55" i="13" s="1"/>
  <c r="R56" i="13" s="1"/>
  <c r="R57" i="13" s="1"/>
  <c r="R58" i="13" s="1"/>
  <c r="R59" i="13" s="1"/>
  <c r="R60" i="13" s="1"/>
  <c r="R61" i="13" s="1"/>
  <c r="R62" i="13" s="1"/>
  <c r="R63" i="13" s="1"/>
  <c r="R64" i="13" s="1"/>
  <c r="R65" i="13" s="1"/>
  <c r="R66" i="13" s="1"/>
  <c r="R67" i="13" s="1"/>
  <c r="R68" i="13" s="1"/>
  <c r="R69" i="13" s="1"/>
  <c r="R70" i="13" l="1"/>
  <c r="R71" i="13" s="1"/>
  <c r="R72" i="13" s="1"/>
  <c r="R73" i="13" s="1"/>
  <c r="R74" i="13" s="1"/>
  <c r="R75" i="13" s="1"/>
  <c r="R76" i="13" s="1"/>
  <c r="R77" i="13" s="1"/>
  <c r="R78" i="13" s="1"/>
  <c r="R79" i="13" s="1"/>
  <c r="R80" i="13" s="1"/>
  <c r="R81" i="13" s="1"/>
  <c r="R82" i="13" s="1"/>
  <c r="R83" i="13" s="1"/>
  <c r="R84" i="13" s="1"/>
  <c r="R85" i="13" s="1"/>
  <c r="R86" i="13" s="1"/>
  <c r="R87" i="13" s="1"/>
  <c r="R88" i="13" s="1"/>
  <c r="R89" i="13" s="1"/>
  <c r="R90" i="13" s="1"/>
  <c r="R91" i="13" s="1"/>
  <c r="R92" i="13" s="1"/>
  <c r="R93" i="13" s="1"/>
  <c r="R94" i="13" s="1"/>
  <c r="R95" i="13" s="1"/>
  <c r="R96" i="13" s="1"/>
  <c r="R97" i="13" s="1"/>
  <c r="R98" i="13" s="1"/>
  <c r="R99" i="13" s="1"/>
  <c r="R100" i="13" s="1"/>
  <c r="R101" i="13" s="1"/>
  <c r="R102" i="13" s="1"/>
  <c r="R103" i="13" s="1"/>
  <c r="R104" i="13" s="1"/>
  <c r="R105" i="13" s="1"/>
  <c r="R106" i="13" s="1"/>
  <c r="R107" i="13" s="1"/>
  <c r="R108" i="13" s="1"/>
  <c r="R109" i="13" s="1"/>
  <c r="R110" i="13" s="1"/>
  <c r="R111" i="13" s="1"/>
  <c r="R112" i="13" s="1"/>
  <c r="R113" i="13" s="1"/>
  <c r="R114" i="13" s="1"/>
  <c r="R115" i="13" s="1"/>
  <c r="R116" i="13" s="1"/>
  <c r="R117" i="13" s="1"/>
  <c r="R118" i="13" s="1"/>
  <c r="R119" i="13" s="1"/>
  <c r="R120" i="13" s="1"/>
  <c r="R121" i="13" s="1"/>
  <c r="R122" i="13" s="1"/>
  <c r="R123" i="13" s="1"/>
  <c r="R124" i="13" s="1"/>
  <c r="R125" i="13" s="1"/>
  <c r="R126" i="13" s="1"/>
  <c r="R127" i="13" s="1"/>
  <c r="R128" i="13" s="1"/>
  <c r="R129" i="13" s="1"/>
  <c r="R130" i="13" s="1"/>
  <c r="R131" i="13" s="1"/>
  <c r="R132" i="13" s="1"/>
  <c r="R133" i="13" s="1"/>
  <c r="R134" i="13" s="1"/>
  <c r="R135" i="13" s="1"/>
  <c r="R136" i="13" s="1"/>
  <c r="R137" i="13" s="1"/>
  <c r="R138" i="13" s="1"/>
  <c r="R139" i="13" s="1"/>
  <c r="R140" i="13" s="1"/>
  <c r="R141" i="13" s="1"/>
  <c r="R142" i="13" s="1"/>
  <c r="R143" i="13" s="1"/>
  <c r="R144" i="13" s="1"/>
  <c r="R145" i="13" s="1"/>
  <c r="R146" i="13" s="1"/>
  <c r="R147" i="13" s="1"/>
  <c r="R148" i="13" s="1"/>
  <c r="R149" i="13" s="1"/>
  <c r="R150" i="13" s="1"/>
  <c r="R151" i="13" s="1"/>
  <c r="R152" i="13" s="1"/>
  <c r="R153" i="13" s="1"/>
  <c r="R154" i="13" s="1"/>
  <c r="R155" i="13" s="1"/>
  <c r="R156" i="13" s="1"/>
  <c r="R157" i="13" s="1"/>
  <c r="R158" i="13" s="1"/>
  <c r="R159" i="13" s="1"/>
  <c r="R160" i="13" s="1"/>
  <c r="R161" i="13" s="1"/>
  <c r="R162" i="13" s="1"/>
  <c r="R163" i="13" s="1"/>
  <c r="R164" i="13" s="1"/>
  <c r="R165" i="13" s="1"/>
  <c r="R166" i="13" s="1"/>
  <c r="R167" i="13" s="1"/>
  <c r="R168" i="13" s="1"/>
  <c r="R169" i="13" s="1"/>
  <c r="R170" i="13" s="1"/>
  <c r="R171" i="13" s="1"/>
  <c r="B5" i="13" l="1"/>
  <c r="B6" i="13" l="1"/>
  <c r="B7" i="13" l="1"/>
  <c r="B8" i="13" l="1"/>
  <c r="B9" i="13" s="1"/>
  <c r="B10" i="13" s="1"/>
  <c r="B11" i="13" s="1"/>
  <c r="B12" i="13" s="1"/>
  <c r="B13" i="13" s="1"/>
  <c r="B14" i="13" l="1"/>
  <c r="B15" i="13" l="1"/>
  <c r="B16" i="13" l="1"/>
  <c r="B17" i="13" l="1"/>
  <c r="B18" i="13" l="1"/>
  <c r="B19" i="13" l="1"/>
  <c r="D12" i="12"/>
  <c r="B20" i="13" l="1"/>
  <c r="B21" i="13" l="1"/>
  <c r="B22" i="13" s="1"/>
  <c r="B23" i="13" s="1"/>
  <c r="B24" i="13" s="1"/>
  <c r="B25" i="13" s="1"/>
  <c r="B26" i="13" s="1"/>
  <c r="B27" i="13" l="1"/>
  <c r="B28" i="13" l="1"/>
  <c r="B29" i="13" l="1"/>
  <c r="B30" i="13" l="1"/>
  <c r="B31" i="13" s="1"/>
  <c r="B32" i="13" s="1"/>
  <c r="B33" i="13" s="1"/>
  <c r="B34" i="13" s="1"/>
  <c r="B35" i="13" l="1"/>
  <c r="D11" i="12"/>
  <c r="B36" i="13" l="1"/>
  <c r="B37" i="13" s="1"/>
  <c r="D8" i="12"/>
  <c r="B38" i="13" l="1"/>
  <c r="B39" i="13" l="1"/>
  <c r="B40" i="13" l="1"/>
  <c r="B41" i="13" l="1"/>
  <c r="B42" i="13" l="1"/>
  <c r="B43" i="13" l="1"/>
  <c r="E12" i="12"/>
  <c r="B44" i="13" l="1"/>
  <c r="B45" i="13" l="1"/>
  <c r="D9" i="12"/>
  <c r="D10" i="12"/>
  <c r="B46" i="13" l="1"/>
  <c r="B47" i="13" s="1"/>
  <c r="B48" i="13" s="1"/>
  <c r="D16" i="12"/>
  <c r="D15" i="12"/>
  <c r="D13" i="12"/>
  <c r="B49" i="13" l="1"/>
  <c r="B50" i="13" l="1"/>
  <c r="B51" i="13" l="1"/>
  <c r="B52" i="13" l="1"/>
  <c r="B53" i="13" s="1"/>
  <c r="B54" i="13" s="1"/>
  <c r="B55" i="13" l="1"/>
  <c r="B56" i="13" l="1"/>
  <c r="B57" i="13" l="1"/>
  <c r="B58" i="13" l="1"/>
  <c r="B59" i="13" l="1"/>
  <c r="B60" i="13" l="1"/>
  <c r="B61" i="13" s="1"/>
  <c r="B62" i="13" l="1"/>
  <c r="B63" i="13" l="1"/>
  <c r="B64" i="13" l="1"/>
  <c r="B65" i="13" l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E11" i="12"/>
  <c r="E10" i="12" l="1"/>
  <c r="E9" i="12" l="1"/>
  <c r="E8" i="12" l="1"/>
  <c r="E13" i="12" s="1"/>
  <c r="B80" i="13"/>
  <c r="B81" i="13" l="1"/>
  <c r="B82" i="13" s="1"/>
  <c r="B83" i="13" s="1"/>
  <c r="B84" i="13" s="1"/>
  <c r="E15" i="12"/>
  <c r="E16" i="12"/>
  <c r="B85" i="13" l="1"/>
  <c r="B86" i="13" l="1"/>
  <c r="B87" i="13" l="1"/>
  <c r="B88" i="13" l="1"/>
  <c r="B89" i="13" l="1"/>
  <c r="B90" i="13" l="1"/>
  <c r="B91" i="13" l="1"/>
  <c r="B92" i="13" l="1"/>
  <c r="B93" i="13" l="1"/>
  <c r="B94" i="13" l="1"/>
  <c r="B95" i="13" l="1"/>
  <c r="B96" i="13" l="1"/>
  <c r="B97" i="13" l="1"/>
  <c r="B98" i="13" l="1"/>
  <c r="B99" i="13" l="1"/>
  <c r="B100" i="13" l="1"/>
  <c r="B101" i="13" l="1"/>
  <c r="B102" i="13" l="1"/>
  <c r="B103" i="13" l="1"/>
  <c r="B104" i="13" l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l="1"/>
  <c r="F11" i="12"/>
  <c r="B118" i="13" l="1"/>
  <c r="B119" i="13" l="1"/>
  <c r="B120" i="13" l="1"/>
  <c r="B121" i="13" l="1"/>
  <c r="F10" i="12"/>
  <c r="B122" i="13" l="1"/>
  <c r="F9" i="12"/>
  <c r="F8" i="12"/>
  <c r="B123" i="13" l="1"/>
  <c r="B124" i="13" s="1"/>
  <c r="B125" i="13" s="1"/>
  <c r="F16" i="12"/>
  <c r="F15" i="12"/>
  <c r="F13" i="12"/>
  <c r="B126" i="13" l="1"/>
  <c r="B127" i="13" l="1"/>
  <c r="B128" i="13" l="1"/>
  <c r="B129" i="13" l="1"/>
  <c r="B130" i="13" l="1"/>
  <c r="B131" i="13" l="1"/>
  <c r="B132" i="13" l="1"/>
  <c r="B133" i="13" l="1"/>
  <c r="B134" i="13" l="1"/>
  <c r="B135" i="13" l="1"/>
  <c r="B136" i="13" s="1"/>
  <c r="B137" i="13" l="1"/>
  <c r="B138" i="13" l="1"/>
  <c r="B139" i="13" s="1"/>
  <c r="B140" i="13" l="1"/>
  <c r="B141" i="13" l="1"/>
  <c r="B142" i="13" s="1"/>
  <c r="B143" i="13" s="1"/>
  <c r="B144" i="13" l="1"/>
  <c r="B145" i="13" l="1"/>
  <c r="B146" i="13" l="1"/>
  <c r="B147" i="13" l="1"/>
  <c r="B148" i="13" s="1"/>
  <c r="B149" i="13" s="1"/>
  <c r="B150" i="13" l="1"/>
  <c r="B151" i="13" l="1"/>
  <c r="B152" i="13" s="1"/>
  <c r="B153" i="13" l="1"/>
  <c r="B154" i="13" s="1"/>
  <c r="B155" i="13" l="1"/>
  <c r="B156" i="13" s="1"/>
  <c r="G12" i="12"/>
  <c r="C12" i="12" s="1"/>
  <c r="B157" i="13" l="1"/>
  <c r="B158" i="13" s="1"/>
  <c r="B159" i="13" s="1"/>
  <c r="B160" i="13" s="1"/>
  <c r="B161" i="13" s="1"/>
  <c r="B162" i="13" l="1"/>
  <c r="B163" i="13" s="1"/>
  <c r="B164" i="13" s="1"/>
  <c r="B165" i="13" s="1"/>
  <c r="B166" i="13" s="1"/>
  <c r="B167" i="13" l="1"/>
  <c r="G10" i="12"/>
  <c r="C10" i="12" s="1"/>
  <c r="B168" i="13" l="1"/>
  <c r="B169" i="13" s="1"/>
  <c r="G11" i="12"/>
  <c r="C11" i="12" s="1"/>
  <c r="B170" i="13" l="1"/>
  <c r="B171" i="13" l="1"/>
  <c r="G8" i="12"/>
  <c r="G9" i="12" l="1"/>
  <c r="G13" i="12" s="1"/>
  <c r="C8" i="12"/>
  <c r="J10" i="12" s="1"/>
  <c r="C9" i="12" l="1"/>
  <c r="G15" i="12"/>
  <c r="G16" i="12"/>
  <c r="C15" i="12" l="1"/>
  <c r="K10" i="12" s="1"/>
  <c r="C13" i="12"/>
  <c r="C16" i="12"/>
  <c r="K11" i="12" s="1"/>
</calcChain>
</file>

<file path=xl/sharedStrings.xml><?xml version="1.0" encoding="utf-8"?>
<sst xmlns="http://schemas.openxmlformats.org/spreadsheetml/2006/main" count="1848" uniqueCount="352">
  <si>
    <t>Fee</t>
  </si>
  <si>
    <t>Date</t>
  </si>
  <si>
    <t>UNITS RETURNED</t>
  </si>
  <si>
    <t>UNITS INVESTED</t>
  </si>
  <si>
    <t>AVE SP PLACE PRICE</t>
  </si>
  <si>
    <t>AVE SP WIN PRICE</t>
  </si>
  <si>
    <t>AVE PLACE PRICE</t>
  </si>
  <si>
    <t>PLACE STRIKE RATE</t>
  </si>
  <si>
    <t>AVE WIN PRICE</t>
  </si>
  <si>
    <t>WIN STRIKE RATE</t>
  </si>
  <si>
    <t>UNPL</t>
  </si>
  <si>
    <t>3rd</t>
  </si>
  <si>
    <t>1st</t>
  </si>
  <si>
    <t>R3</t>
  </si>
  <si>
    <t>Benalla</t>
  </si>
  <si>
    <t>2nd</t>
  </si>
  <si>
    <t>R7</t>
  </si>
  <si>
    <t>Moe</t>
  </si>
  <si>
    <t>Cranbourne</t>
  </si>
  <si>
    <t>Profit</t>
  </si>
  <si>
    <t>OVERALL</t>
  </si>
  <si>
    <t>Units</t>
  </si>
  <si>
    <t>Result</t>
  </si>
  <si>
    <t>Place</t>
  </si>
  <si>
    <t>Win</t>
  </si>
  <si>
    <t>Race</t>
  </si>
  <si>
    <t>Racetrack</t>
  </si>
  <si>
    <t>Horse</t>
  </si>
  <si>
    <t>R1</t>
  </si>
  <si>
    <t>Sale</t>
  </si>
  <si>
    <t>Moonee Valley</t>
  </si>
  <si>
    <t>Echuca</t>
  </si>
  <si>
    <t>R9</t>
  </si>
  <si>
    <t>Bairnsdale</t>
  </si>
  <si>
    <t>Flemington</t>
  </si>
  <si>
    <t>Ballarat</t>
  </si>
  <si>
    <t>Swan Hill</t>
  </si>
  <si>
    <t>R4</t>
  </si>
  <si>
    <t>Kyneton</t>
  </si>
  <si>
    <t>R2</t>
  </si>
  <si>
    <t>Wangaratta</t>
  </si>
  <si>
    <t>N/A</t>
  </si>
  <si>
    <t>MISSILE MANTRA</t>
  </si>
  <si>
    <t>Mornington</t>
  </si>
  <si>
    <t>Bendigo</t>
  </si>
  <si>
    <t>R5</t>
  </si>
  <si>
    <t>Warrnambool</t>
  </si>
  <si>
    <t>Sandown</t>
  </si>
  <si>
    <t>R10</t>
  </si>
  <si>
    <t>Pakenham</t>
  </si>
  <si>
    <t>R6</t>
  </si>
  <si>
    <t>Morphetville</t>
  </si>
  <si>
    <t>R8</t>
  </si>
  <si>
    <t>Caulfield</t>
  </si>
  <si>
    <t>Newcastle</t>
  </si>
  <si>
    <t>Randwick</t>
  </si>
  <si>
    <t>Hamilton</t>
  </si>
  <si>
    <t>Geelong</t>
  </si>
  <si>
    <t>NENEKA</t>
  </si>
  <si>
    <t>Donald</t>
  </si>
  <si>
    <t>Wodonga</t>
  </si>
  <si>
    <t>4th</t>
  </si>
  <si>
    <t>P.O.T</t>
  </si>
  <si>
    <t>Traralgon</t>
  </si>
  <si>
    <t xml:space="preserve"> </t>
  </si>
  <si>
    <t>Ararat</t>
  </si>
  <si>
    <t>7th</t>
  </si>
  <si>
    <t>RESULTS:</t>
  </si>
  <si>
    <t>10th</t>
  </si>
  <si>
    <t>5th</t>
  </si>
  <si>
    <t>MDN</t>
  </si>
  <si>
    <t>Class</t>
  </si>
  <si>
    <t>BM64</t>
  </si>
  <si>
    <t>BM58</t>
  </si>
  <si>
    <t>BM70</t>
  </si>
  <si>
    <t>BM78</t>
  </si>
  <si>
    <t>6th</t>
  </si>
  <si>
    <t>Max Wills</t>
  </si>
  <si>
    <t>DRATINI</t>
  </si>
  <si>
    <t>Terang</t>
  </si>
  <si>
    <t>Yarra Valley</t>
  </si>
  <si>
    <t>STICKING POINT</t>
  </si>
  <si>
    <t>Tatura</t>
  </si>
  <si>
    <t>CREDLIN</t>
  </si>
  <si>
    <t>SENSE OF DOUBT</t>
  </si>
  <si>
    <t>BORN A WARRIOR</t>
  </si>
  <si>
    <t>8th</t>
  </si>
  <si>
    <t>STOICAL</t>
  </si>
  <si>
    <t>Kilmore</t>
  </si>
  <si>
    <t>WINSUM</t>
  </si>
  <si>
    <t>SAVANNAH CLOUD</t>
  </si>
  <si>
    <t>AFFAIR TO REMEMBER</t>
  </si>
  <si>
    <t>Avoca</t>
  </si>
  <si>
    <t>12th</t>
  </si>
  <si>
    <t>LUNAKORN</t>
  </si>
  <si>
    <t>Rosehill</t>
  </si>
  <si>
    <t>SWATS THAT</t>
  </si>
  <si>
    <t>MASTER BARTHOLDI</t>
  </si>
  <si>
    <t>BARRINGER</t>
  </si>
  <si>
    <t>Total</t>
  </si>
  <si>
    <t>RECOMMENDED PRICE</t>
  </si>
  <si>
    <t>PROFIT / (LOSS)</t>
  </si>
  <si>
    <t>RECOMMENDED PRICE:</t>
  </si>
  <si>
    <t>BETFAIR SP:</t>
  </si>
  <si>
    <t>OUTFLANK</t>
  </si>
  <si>
    <t>BETTER KICK</t>
  </si>
  <si>
    <t>BROTHER FOX</t>
  </si>
  <si>
    <t>ZOUGAZEM</t>
  </si>
  <si>
    <t>BETFAIR SP</t>
  </si>
  <si>
    <t>First day of the month</t>
  </si>
  <si>
    <t>Last day of the month</t>
  </si>
  <si>
    <t>9th</t>
  </si>
  <si>
    <t>HCP</t>
  </si>
  <si>
    <t>n/a</t>
  </si>
  <si>
    <t>SHOTMAKER</t>
  </si>
  <si>
    <t>AKAKA FALLS</t>
  </si>
  <si>
    <t>ZOUTONS</t>
  </si>
  <si>
    <t>State</t>
  </si>
  <si>
    <t>VIC</t>
  </si>
  <si>
    <t>DEORA</t>
  </si>
  <si>
    <t>WINNING SUPERSTAR</t>
  </si>
  <si>
    <t>JENNI'S RAINBOW</t>
  </si>
  <si>
    <t>CLEAN MACHINE</t>
  </si>
  <si>
    <t>AUGUST</t>
  </si>
  <si>
    <t>Barrier</t>
  </si>
  <si>
    <t>JOCAT</t>
  </si>
  <si>
    <t>AMINATU</t>
  </si>
  <si>
    <t>#</t>
  </si>
  <si>
    <t>Synthetic</t>
  </si>
  <si>
    <t>VILLA VILLEKULLA</t>
  </si>
  <si>
    <t>Soft</t>
  </si>
  <si>
    <t>Good</t>
  </si>
  <si>
    <t>Heavy</t>
  </si>
  <si>
    <t>BLOOD OATH</t>
  </si>
  <si>
    <t>Condition</t>
  </si>
  <si>
    <t>Distance</t>
  </si>
  <si>
    <t>GYPSY CHOICE</t>
  </si>
  <si>
    <t>CARMEN SANDIEGO</t>
  </si>
  <si>
    <t>SPIRITING</t>
  </si>
  <si>
    <t>BAROCHA</t>
  </si>
  <si>
    <t>GLAMDAM</t>
  </si>
  <si>
    <t>BERMADEZ</t>
  </si>
  <si>
    <t>MAYSHESTAR</t>
  </si>
  <si>
    <t>NIGHT RAID</t>
  </si>
  <si>
    <t>INTO GLORY RIDE</t>
  </si>
  <si>
    <t>SHOCK AND AWE</t>
  </si>
  <si>
    <t>TYDEUS</t>
  </si>
  <si>
    <t>CL1</t>
  </si>
  <si>
    <t>KUMANA</t>
  </si>
  <si>
    <t>14th</t>
  </si>
  <si>
    <t>ALL STARDOM</t>
  </si>
  <si>
    <t>CLIFFS OF BELAURA</t>
  </si>
  <si>
    <t>MENSA MISSILE</t>
  </si>
  <si>
    <t>ALOVELYBROWNHORSE</t>
  </si>
  <si>
    <t>BIG FLASH</t>
  </si>
  <si>
    <t>GOLDEN FOURTH</t>
  </si>
  <si>
    <t>GIFTED MISS</t>
  </si>
  <si>
    <t>JEEHAAN</t>
  </si>
  <si>
    <t>RAINBIEL</t>
  </si>
  <si>
    <t>SEPTEMBER</t>
  </si>
  <si>
    <t>AIN'TNODEELDUN</t>
  </si>
  <si>
    <t>CAPTAIN SPUD</t>
  </si>
  <si>
    <t xml:space="preserve">SCIENTIFIC </t>
  </si>
  <si>
    <t>DREAMS AND SCHEMES</t>
  </si>
  <si>
    <t>RINGFORT</t>
  </si>
  <si>
    <t>RIVER TWAIN</t>
  </si>
  <si>
    <t>WISE COUNSEL</t>
  </si>
  <si>
    <t>RELIABLE DUDE</t>
  </si>
  <si>
    <t>SEA WITNESS</t>
  </si>
  <si>
    <t>CIRCLE OF MAGIC</t>
  </si>
  <si>
    <t>PRIDE OF JENNI</t>
  </si>
  <si>
    <t>BAT PAD</t>
  </si>
  <si>
    <t>CAVE HILL</t>
  </si>
  <si>
    <t>TYCOON RAFF</t>
  </si>
  <si>
    <t>PRETTY ROSSA</t>
  </si>
  <si>
    <t>OUT TO WIN</t>
  </si>
  <si>
    <t>EARLY PLEA</t>
  </si>
  <si>
    <t>LR</t>
  </si>
  <si>
    <t>Track</t>
  </si>
  <si>
    <t>NSW</t>
  </si>
  <si>
    <t>-</t>
  </si>
  <si>
    <t>LOST</t>
  </si>
  <si>
    <t>BREAKING LOOSE</t>
  </si>
  <si>
    <t>PHOENIX GLOBAL</t>
  </si>
  <si>
    <t>FREE WILMA</t>
  </si>
  <si>
    <t>YULONG SOVEREIGN</t>
  </si>
  <si>
    <t>LYRE</t>
  </si>
  <si>
    <t>YOSHI TORANAGA</t>
  </si>
  <si>
    <t>MUSSENPHERE</t>
  </si>
  <si>
    <t>WEGOBAM</t>
  </si>
  <si>
    <t>TRUMPHOUSE</t>
  </si>
  <si>
    <t>ALFA ORO</t>
  </si>
  <si>
    <t>BM84</t>
  </si>
  <si>
    <t>DR SCHULTZ</t>
  </si>
  <si>
    <t>GRP3</t>
  </si>
  <si>
    <t>CRYSTAL STAR</t>
  </si>
  <si>
    <t>PEARL SONG</t>
  </si>
  <si>
    <t>OCTOBER</t>
  </si>
  <si>
    <t>SCHABAU</t>
  </si>
  <si>
    <t>GRP1</t>
  </si>
  <si>
    <t>GRP2</t>
  </si>
  <si>
    <t>AMURI</t>
  </si>
  <si>
    <t>OSO GOOD</t>
  </si>
  <si>
    <t>16th</t>
  </si>
  <si>
    <t>*Betfair SP is used as a 'guide' price only. Commission is not deducted.*</t>
  </si>
  <si>
    <t>*Win units are based on winning 10 units of 'profit' on the Win bet only.*</t>
  </si>
  <si>
    <t>FAR ENOUGH</t>
  </si>
  <si>
    <t>VERCHENOVA</t>
  </si>
  <si>
    <t>OCTANE</t>
  </si>
  <si>
    <t>HILLCREST MOSES</t>
  </si>
  <si>
    <t>CHEER FOR ME</t>
  </si>
  <si>
    <t>FORBIDDEN LOVE</t>
  </si>
  <si>
    <t>SUCCEED INDEED</t>
  </si>
  <si>
    <t>11th</t>
  </si>
  <si>
    <t>VIOLINIST</t>
  </si>
  <si>
    <t>*Place units are on odds of $1.80+ only and based on breaking even on the Win &amp; Place bet (unless otherwise recommended).*</t>
  </si>
  <si>
    <t>ORD</t>
  </si>
  <si>
    <t>MISS ALBANIA</t>
  </si>
  <si>
    <t>NOVEMBER</t>
  </si>
  <si>
    <t>STILL BE FRIENDS</t>
  </si>
  <si>
    <t>YULONG COMMAND</t>
  </si>
  <si>
    <t>RECIPROCATION</t>
  </si>
  <si>
    <t>GUSTY</t>
  </si>
  <si>
    <t>Soft7</t>
  </si>
  <si>
    <t>Good4</t>
  </si>
  <si>
    <t>PRINCE AMONGST MEN</t>
  </si>
  <si>
    <t>SHELBY COBRA</t>
  </si>
  <si>
    <t>BLACKBOOK RESULTS (BY MONTH)</t>
  </si>
  <si>
    <t>Jump Outs</t>
  </si>
  <si>
    <t>MAX WILLS</t>
  </si>
  <si>
    <t>Tipper</t>
  </si>
  <si>
    <t>THE JUMP OUTS</t>
  </si>
  <si>
    <t>RESULTS (BY MONTH)</t>
  </si>
  <si>
    <t>EITILT</t>
  </si>
  <si>
    <t>TINY REBEL</t>
  </si>
  <si>
    <t>L28 DAYS</t>
  </si>
  <si>
    <t>LINDHOUT</t>
  </si>
  <si>
    <t>GLOVES ARE OFF</t>
  </si>
  <si>
    <t>LOE</t>
  </si>
  <si>
    <t>FROME THE STARS</t>
  </si>
  <si>
    <t>ANIRISHMAN</t>
  </si>
  <si>
    <t>MIRAVILLE</t>
  </si>
  <si>
    <t>BUFFALO RIVER</t>
  </si>
  <si>
    <t>CHAILLOT</t>
  </si>
  <si>
    <t>LARIAT</t>
  </si>
  <si>
    <t>Soft5</t>
  </si>
  <si>
    <t>incl. 6% commission</t>
  </si>
  <si>
    <t>BLAZING REBEL</t>
  </si>
  <si>
    <t>MARCO SPADA</t>
  </si>
  <si>
    <t>15th</t>
  </si>
  <si>
    <t>LA PIETRA</t>
  </si>
  <si>
    <t>SUPREME THUNDER</t>
  </si>
  <si>
    <t>LOVIN' LAUGHS</t>
  </si>
  <si>
    <t>STARDUST LOVER</t>
  </si>
  <si>
    <t>SWEET HOME ALABAMA</t>
  </si>
  <si>
    <t>PRINCE OF ARRAN</t>
  </si>
  <si>
    <t>SURPRISE BABY</t>
  </si>
  <si>
    <t>HARBOUR VIEWS</t>
  </si>
  <si>
    <t>SPACEBOY</t>
  </si>
  <si>
    <t>BM100</t>
  </si>
  <si>
    <t>Heavy8</t>
  </si>
  <si>
    <t>13th</t>
  </si>
  <si>
    <t>MAGNALICIOUS</t>
  </si>
  <si>
    <t>VOWMASTER</t>
  </si>
  <si>
    <t>DOSH</t>
  </si>
  <si>
    <t>TEMPEST CHARM</t>
  </si>
  <si>
    <t>NOVEMBER DREAMING</t>
  </si>
  <si>
    <t>CRYSTAL DREAMER</t>
  </si>
  <si>
    <t>ADELAIDE ACE</t>
  </si>
  <si>
    <t>WRITTEN BEAUTY</t>
  </si>
  <si>
    <t>SWP-LR</t>
  </si>
  <si>
    <t>BM90</t>
  </si>
  <si>
    <t>BARCELONA ROCK</t>
  </si>
  <si>
    <t>OCEAN BEYOND</t>
  </si>
  <si>
    <t>HERE TO SHOCK</t>
  </si>
  <si>
    <t>LA ISLA BONITA</t>
  </si>
  <si>
    <t>ARCADIA QUEEN</t>
  </si>
  <si>
    <t>WANDABAA</t>
  </si>
  <si>
    <t>HUSKISSON</t>
  </si>
  <si>
    <t>SHORTHAND</t>
  </si>
  <si>
    <t>2-LEG WIN MULTI</t>
  </si>
  <si>
    <t>IT'S TRUE</t>
  </si>
  <si>
    <t>THE BLACK PANTHER</t>
  </si>
  <si>
    <t>LOVEPLANET</t>
  </si>
  <si>
    <t>SIRILEO MISS</t>
  </si>
  <si>
    <t>NAVAL ENVOY</t>
  </si>
  <si>
    <t>Kembla Grange</t>
  </si>
  <si>
    <t>BONDI BEAU</t>
  </si>
  <si>
    <t>MR MIDORI</t>
  </si>
  <si>
    <t>MOUNT MITTY</t>
  </si>
  <si>
    <t>Dunkeld</t>
  </si>
  <si>
    <t>STAR OF UMA</t>
  </si>
  <si>
    <t>GALAXY RAIDER</t>
  </si>
  <si>
    <t>WEST WIND</t>
  </si>
  <si>
    <t>SLIDERS</t>
  </si>
  <si>
    <t>2YO</t>
  </si>
  <si>
    <t>SEB SONG</t>
  </si>
  <si>
    <t>NOWITZKI</t>
  </si>
  <si>
    <t>CLAP</t>
  </si>
  <si>
    <t>BY TIPSTER</t>
  </si>
  <si>
    <t>DIVINE WIT</t>
  </si>
  <si>
    <t>TYPHOON HARMONY</t>
  </si>
  <si>
    <t>ARROANCE</t>
  </si>
  <si>
    <t>AMERICAN SAINT</t>
  </si>
  <si>
    <t>CHUCKANEV</t>
  </si>
  <si>
    <t>JANE'S ANGEL</t>
  </si>
  <si>
    <t>PLENTY TO SAY</t>
  </si>
  <si>
    <t>ROCK PROPHET</t>
  </si>
  <si>
    <t>RIGHT YOU ARE</t>
  </si>
  <si>
    <t>YAO DASH</t>
  </si>
  <si>
    <t>BIG PARADE</t>
  </si>
  <si>
    <t>AMERCEMENT</t>
  </si>
  <si>
    <t>KOTYS</t>
  </si>
  <si>
    <t>QUINTELLO</t>
  </si>
  <si>
    <t>DANCE TO DUBAI</t>
  </si>
  <si>
    <t>LADY ZOFFANY</t>
  </si>
  <si>
    <t>ZION</t>
  </si>
  <si>
    <t>DIAMONDS INTHE SKY</t>
  </si>
  <si>
    <t>KURABUI</t>
  </si>
  <si>
    <t>STARLIGHT SCOPE</t>
  </si>
  <si>
    <t>ZOUDINI</t>
  </si>
  <si>
    <t>COP A CLIP</t>
  </si>
  <si>
    <t>YULONG PROGRESS</t>
  </si>
  <si>
    <t>LUCKY SHAM</t>
  </si>
  <si>
    <t>SAINT MAHJONG</t>
  </si>
  <si>
    <t>RONNIEJAY</t>
  </si>
  <si>
    <t>QUEEN LA DIVA</t>
  </si>
  <si>
    <t>JESTER HALO</t>
  </si>
  <si>
    <t>DEEP SPEED</t>
  </si>
  <si>
    <t>ALL BANTER</t>
  </si>
  <si>
    <t>VIRIDINE</t>
  </si>
  <si>
    <t>NEW ARRANGEMENT</t>
  </si>
  <si>
    <t>EL SALTO</t>
  </si>
  <si>
    <t>NEXT START</t>
  </si>
  <si>
    <t>in BM58 by 2.5L at $5.00</t>
  </si>
  <si>
    <t>in BM64 by 1.5L at $4.40</t>
  </si>
  <si>
    <t>in MDN by 0.2L at $2.70</t>
  </si>
  <si>
    <t>in MDN by 0.5L at $8.50</t>
  </si>
  <si>
    <t>in BM70 by 3.2L at $3.80</t>
  </si>
  <si>
    <t>in BM64 by 0.2L at $6.50</t>
  </si>
  <si>
    <t>in MDN by 9.4L at $51.00</t>
  </si>
  <si>
    <t>in MDN by 2L at $3.00</t>
  </si>
  <si>
    <t>in BM64 by 1.8L at $26.00</t>
  </si>
  <si>
    <t>inBM58 by 4.2L at $15.00</t>
  </si>
  <si>
    <t>in BM70 by 3.4L at $3.80</t>
  </si>
  <si>
    <t>in MDN by 2.2L at $9.00</t>
  </si>
  <si>
    <t>in BM64 by 2.6L at $6.50</t>
  </si>
  <si>
    <t>THE JUMP OUTS - BLACKBOOK</t>
  </si>
  <si>
    <t>MAX - SATURDAY PREVIEWS</t>
  </si>
  <si>
    <t>RESULTS</t>
  </si>
  <si>
    <t>THE JUMP OUTS - REVIEWS</t>
  </si>
  <si>
    <t>OVERALL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</si>
</sst>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7" formatCode="0.0%"/>
    <numFmt numFmtId="168" formatCode="_(* #,##0.0_);_(* \(#,##0.0\);_(* &quot;-&quot;_);_(@_)"/>
    <numFmt numFmtId="170" formatCode="[$-C09]dd\-mmm\-yy;@"/>
    <numFmt numFmtId="171" formatCode="_(* #,##0.0_);_(* \(#,##0.0\);_(* &quot;-&quot;??_);_(@_)"/>
    <numFmt numFmtId="172" formatCode="_(* #,##0.00_);_(* \(#,##0.00\);_(* &quot;-&quot;_);_(@_)"/>
  </numFmts>
  <fonts count="1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u/>
      <sz val="12"/>
      <color rgb="FF000000"/>
      <name val="Calibri"/>
      <family val="2"/>
    </font>
    <font>
      <b/>
      <sz val="20"/>
      <name val="Calibri"/>
      <family val="2"/>
    </font>
    <font>
      <sz val="10"/>
      <color rgb="FF000000"/>
      <name val="Calibri (Body)"/>
    </font>
    <font>
      <i/>
      <sz val="10"/>
      <color theme="2"/>
      <name val="Calibri (Body)"/>
    </font>
    <font>
      <sz val="10"/>
      <color theme="1"/>
      <name val="Calibri (Body)"/>
    </font>
    <font>
      <sz val="10"/>
      <color theme="0"/>
      <name val="Calibri"/>
      <family val="2"/>
      <scheme val="minor"/>
    </font>
    <font>
      <sz val="12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44" fontId="0" fillId="0" borderId="0" xfId="0" applyNumberFormat="1"/>
    <xf numFmtId="0" fontId="1" fillId="0" borderId="0" xfId="1"/>
    <xf numFmtId="0" fontId="1" fillId="0" borderId="0" xfId="1" applyAlignment="1">
      <alignment horizontal="left"/>
    </xf>
    <xf numFmtId="164" fontId="2" fillId="3" borderId="4" xfId="1" applyNumberFormat="1" applyFont="1" applyFill="1" applyBorder="1"/>
    <xf numFmtId="164" fontId="2" fillId="3" borderId="5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right"/>
    </xf>
    <xf numFmtId="9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4" fontId="1" fillId="0" borderId="0" xfId="1" applyNumberFormat="1" applyAlignment="1">
      <alignment horizontal="center"/>
    </xf>
    <xf numFmtId="0" fontId="1" fillId="0" borderId="7" xfId="1" applyBorder="1"/>
    <xf numFmtId="44" fontId="1" fillId="0" borderId="10" xfId="1" applyNumberFormat="1" applyBorder="1" applyAlignment="1">
      <alignment horizontal="center"/>
    </xf>
    <xf numFmtId="14" fontId="1" fillId="0" borderId="0" xfId="1" applyNumberFormat="1" applyAlignment="1">
      <alignment horizontal="center"/>
    </xf>
    <xf numFmtId="0" fontId="6" fillId="3" borderId="6" xfId="1" applyFont="1" applyFill="1" applyBorder="1" applyAlignment="1">
      <alignment horizontal="right"/>
    </xf>
    <xf numFmtId="1" fontId="2" fillId="3" borderId="0" xfId="1" applyNumberFormat="1" applyFont="1" applyFill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0" fontId="2" fillId="0" borderId="0" xfId="1" applyFont="1"/>
    <xf numFmtId="164" fontId="2" fillId="3" borderId="18" xfId="1" applyNumberFormat="1" applyFont="1" applyFill="1" applyBorder="1"/>
    <xf numFmtId="0" fontId="5" fillId="3" borderId="19" xfId="1" applyFont="1" applyFill="1" applyBorder="1" applyAlignment="1">
      <alignment horizontal="right"/>
    </xf>
    <xf numFmtId="0" fontId="6" fillId="3" borderId="19" xfId="1" applyFont="1" applyFill="1" applyBorder="1" applyAlignment="1">
      <alignment horizontal="right"/>
    </xf>
    <xf numFmtId="1" fontId="2" fillId="3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5" fillId="3" borderId="7" xfId="1" applyFont="1" applyFill="1" applyBorder="1" applyAlignment="1">
      <alignment horizontal="left"/>
    </xf>
    <xf numFmtId="0" fontId="5" fillId="3" borderId="23" xfId="1" applyFont="1" applyFill="1" applyBorder="1" applyAlignment="1">
      <alignment horizontal="center"/>
    </xf>
    <xf numFmtId="9" fontId="2" fillId="3" borderId="0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4" fillId="3" borderId="17" xfId="1" applyFont="1" applyFill="1" applyBorder="1" applyAlignment="1">
      <alignment horizontal="right"/>
    </xf>
    <xf numFmtId="9" fontId="3" fillId="3" borderId="16" xfId="1" applyNumberFormat="1" applyFont="1" applyFill="1" applyBorder="1"/>
    <xf numFmtId="9" fontId="2" fillId="3" borderId="16" xfId="1" applyNumberFormat="1" applyFont="1" applyFill="1" applyBorder="1"/>
    <xf numFmtId="9" fontId="2" fillId="3" borderId="15" xfId="1" applyNumberFormat="1" applyFont="1" applyFill="1" applyBorder="1"/>
    <xf numFmtId="0" fontId="5" fillId="3" borderId="7" xfId="1" applyFont="1" applyFill="1" applyBorder="1" applyAlignment="1">
      <alignment horizontal="center"/>
    </xf>
    <xf numFmtId="168" fontId="1" fillId="4" borderId="0" xfId="1" applyNumberFormat="1" applyFill="1" applyAlignment="1">
      <alignment horizontal="center"/>
    </xf>
    <xf numFmtId="0" fontId="5" fillId="3" borderId="5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0" fontId="1" fillId="0" borderId="0" xfId="1" applyBorder="1"/>
    <xf numFmtId="0" fontId="5" fillId="3" borderId="8" xfId="1" applyFont="1" applyFill="1" applyBorder="1" applyAlignment="1">
      <alignment horizontal="center"/>
    </xf>
    <xf numFmtId="168" fontId="1" fillId="4" borderId="0" xfId="1" applyNumberFormat="1" applyFill="1" applyBorder="1" applyAlignment="1">
      <alignment horizontal="center"/>
    </xf>
    <xf numFmtId="44" fontId="1" fillId="0" borderId="0" xfId="1" applyNumberFormat="1" applyBorder="1" applyAlignment="1">
      <alignment horizontal="center"/>
    </xf>
    <xf numFmtId="0" fontId="5" fillId="5" borderId="0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170" fontId="1" fillId="0" borderId="0" xfId="1" applyNumberFormat="1" applyAlignment="1">
      <alignment horizontal="center"/>
    </xf>
    <xf numFmtId="1" fontId="1" fillId="0" borderId="0" xfId="1" applyNumberFormat="1"/>
    <xf numFmtId="0" fontId="1" fillId="0" borderId="0" xfId="1" applyBorder="1" applyAlignment="1">
      <alignment horizontal="left" indent="2"/>
    </xf>
    <xf numFmtId="0" fontId="7" fillId="0" borderId="0" xfId="1" applyFont="1" applyBorder="1"/>
    <xf numFmtId="44" fontId="1" fillId="0" borderId="24" xfId="1" applyNumberFormat="1" applyBorder="1" applyAlignment="1">
      <alignment horizontal="center"/>
    </xf>
    <xf numFmtId="44" fontId="1" fillId="4" borderId="0" xfId="1" applyNumberFormat="1" applyFill="1" applyBorder="1" applyAlignment="1">
      <alignment horizontal="center"/>
    </xf>
    <xf numFmtId="0" fontId="1" fillId="0" borderId="10" xfId="1" applyBorder="1" applyAlignment="1">
      <alignment horizontal="left" vertical="center"/>
    </xf>
    <xf numFmtId="44" fontId="1" fillId="4" borderId="7" xfId="1" applyNumberFormat="1" applyFill="1" applyBorder="1" applyAlignment="1">
      <alignment horizontal="center"/>
    </xf>
    <xf numFmtId="44" fontId="1" fillId="0" borderId="8" xfId="1" applyNumberFormat="1" applyBorder="1" applyAlignment="1">
      <alignment horizontal="center"/>
    </xf>
    <xf numFmtId="168" fontId="1" fillId="4" borderId="7" xfId="1" applyNumberFormat="1" applyFill="1" applyBorder="1" applyAlignment="1">
      <alignment horizontal="center"/>
    </xf>
    <xf numFmtId="44" fontId="1" fillId="0" borderId="7" xfId="1" applyNumberFormat="1" applyBorder="1" applyAlignment="1">
      <alignment horizontal="center"/>
    </xf>
    <xf numFmtId="170" fontId="1" fillId="0" borderId="0" xfId="1" applyNumberFormat="1" applyFill="1" applyAlignment="1">
      <alignment horizontal="center" vertical="center"/>
    </xf>
    <xf numFmtId="170" fontId="1" fillId="0" borderId="7" xfId="1" applyNumberFormat="1" applyFill="1" applyBorder="1" applyAlignment="1">
      <alignment horizontal="center" vertical="center"/>
    </xf>
    <xf numFmtId="168" fontId="1" fillId="0" borderId="0" xfId="1" applyNumberFormat="1" applyFill="1" applyBorder="1" applyAlignment="1">
      <alignment horizontal="center"/>
    </xf>
    <xf numFmtId="168" fontId="1" fillId="0" borderId="7" xfId="1" applyNumberFormat="1" applyFill="1" applyBorder="1" applyAlignment="1">
      <alignment horizontal="center"/>
    </xf>
    <xf numFmtId="171" fontId="1" fillId="0" borderId="9" xfId="1" applyNumberFormat="1" applyBorder="1" applyAlignment="1">
      <alignment horizontal="center"/>
    </xf>
    <xf numFmtId="9" fontId="2" fillId="3" borderId="21" xfId="1" applyNumberFormat="1" applyFont="1" applyFill="1" applyBorder="1" applyAlignment="1">
      <alignment horizontal="center"/>
    </xf>
    <xf numFmtId="164" fontId="2" fillId="3" borderId="20" xfId="1" applyNumberFormat="1" applyFont="1" applyFill="1" applyBorder="1"/>
    <xf numFmtId="167" fontId="2" fillId="3" borderId="0" xfId="1" applyNumberFormat="1" applyFont="1" applyFill="1" applyBorder="1" applyAlignment="1">
      <alignment horizontal="center"/>
    </xf>
    <xf numFmtId="0" fontId="5" fillId="3" borderId="17" xfId="1" applyFont="1" applyFill="1" applyBorder="1" applyAlignment="1">
      <alignment horizontal="right"/>
    </xf>
    <xf numFmtId="9" fontId="2" fillId="3" borderId="16" xfId="1" applyNumberFormat="1" applyFont="1" applyFill="1" applyBorder="1" applyAlignment="1">
      <alignment horizontal="center"/>
    </xf>
    <xf numFmtId="164" fontId="2" fillId="3" borderId="15" xfId="1" applyNumberFormat="1" applyFont="1" applyFill="1" applyBorder="1"/>
    <xf numFmtId="171" fontId="1" fillId="0" borderId="23" xfId="1" applyNumberFormat="1" applyBorder="1" applyAlignment="1">
      <alignment horizontal="center"/>
    </xf>
    <xf numFmtId="172" fontId="1" fillId="4" borderId="0" xfId="1" applyNumberForma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1" fillId="0" borderId="0" xfId="1" applyAlignment="1">
      <alignment horizontal="center"/>
    </xf>
    <xf numFmtId="0" fontId="1" fillId="0" borderId="8" xfId="1" applyBorder="1" applyAlignment="1">
      <alignment horizontal="left" vertical="center"/>
    </xf>
    <xf numFmtId="1" fontId="2" fillId="3" borderId="7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1" applyNumberFormat="1"/>
    <xf numFmtId="0" fontId="1" fillId="0" borderId="0" xfId="1" applyBorder="1" applyAlignment="1">
      <alignment horizontal="left"/>
    </xf>
    <xf numFmtId="1" fontId="4" fillId="3" borderId="22" xfId="1" applyNumberFormat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1" fillId="0" borderId="7" xfId="1" applyBorder="1" applyAlignment="1">
      <alignment horizontal="left"/>
    </xf>
    <xf numFmtId="0" fontId="6" fillId="6" borderId="0" xfId="1" applyFont="1" applyFill="1" applyBorder="1" applyAlignment="1">
      <alignment horizontal="right"/>
    </xf>
    <xf numFmtId="0" fontId="8" fillId="3" borderId="2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left"/>
    </xf>
    <xf numFmtId="170" fontId="1" fillId="0" borderId="0" xfId="1" applyNumberFormat="1" applyFill="1" applyBorder="1" applyAlignment="1">
      <alignment horizontal="center" vertical="center"/>
    </xf>
    <xf numFmtId="0" fontId="9" fillId="2" borderId="8" xfId="1" applyFont="1" applyFill="1" applyBorder="1"/>
    <xf numFmtId="0" fontId="9" fillId="2" borderId="7" xfId="1" applyFont="1" applyFill="1" applyBorder="1"/>
    <xf numFmtId="14" fontId="9" fillId="2" borderId="7" xfId="1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44" fontId="9" fillId="2" borderId="7" xfId="1" applyNumberFormat="1" applyFont="1" applyFill="1" applyBorder="1" applyAlignment="1">
      <alignment horizontal="center"/>
    </xf>
    <xf numFmtId="2" fontId="9" fillId="2" borderId="23" xfId="1" applyNumberFormat="1" applyFont="1" applyFill="1" applyBorder="1" applyAlignment="1">
      <alignment horizontal="center" vertical="center"/>
    </xf>
    <xf numFmtId="2" fontId="10" fillId="2" borderId="23" xfId="1" applyNumberFormat="1" applyFont="1" applyFill="1" applyBorder="1" applyAlignment="1">
      <alignment horizontal="right" vertical="center"/>
    </xf>
    <xf numFmtId="0" fontId="11" fillId="0" borderId="0" xfId="0" applyFont="1"/>
    <xf numFmtId="0" fontId="9" fillId="0" borderId="0" xfId="1" applyFont="1"/>
    <xf numFmtId="0" fontId="8" fillId="3" borderId="2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20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/>
    </xf>
    <xf numFmtId="43" fontId="1" fillId="0" borderId="9" xfId="1" applyNumberFormat="1" applyBorder="1" applyAlignment="1">
      <alignment horizontal="center"/>
    </xf>
    <xf numFmtId="43" fontId="10" fillId="2" borderId="23" xfId="1" applyNumberFormat="1" applyFont="1" applyFill="1" applyBorder="1" applyAlignment="1">
      <alignment horizontal="right" vertical="center"/>
    </xf>
    <xf numFmtId="172" fontId="1" fillId="0" borderId="0" xfId="1" applyNumberFormat="1" applyFill="1" applyBorder="1" applyAlignment="1">
      <alignment horizontal="center"/>
    </xf>
    <xf numFmtId="172" fontId="9" fillId="2" borderId="23" xfId="1" applyNumberFormat="1" applyFont="1" applyFill="1" applyBorder="1" applyAlignment="1">
      <alignment horizontal="center" vertical="center"/>
    </xf>
    <xf numFmtId="43" fontId="1" fillId="0" borderId="0" xfId="1" applyNumberFormat="1" applyFill="1" applyBorder="1" applyAlignment="1">
      <alignment horizontal="center"/>
    </xf>
    <xf numFmtId="9" fontId="12" fillId="2" borderId="7" xfId="1" applyNumberFormat="1" applyFont="1" applyFill="1" applyBorder="1" applyAlignment="1">
      <alignment horizontal="left"/>
    </xf>
    <xf numFmtId="0" fontId="1" fillId="0" borderId="9" xfId="1" applyBorder="1"/>
    <xf numFmtId="0" fontId="0" fillId="0" borderId="9" xfId="0" applyBorder="1"/>
    <xf numFmtId="0" fontId="0" fillId="0" borderId="10" xfId="0" applyBorder="1"/>
    <xf numFmtId="43" fontId="0" fillId="0" borderId="10" xfId="0" applyNumberFormat="1" applyBorder="1"/>
    <xf numFmtId="0" fontId="1" fillId="0" borderId="0" xfId="1" applyBorder="1" applyAlignment="1">
      <alignment horizontal="left" vertical="center"/>
    </xf>
    <xf numFmtId="43" fontId="1" fillId="0" borderId="0" xfId="1" applyNumberFormat="1" applyBorder="1" applyAlignment="1">
      <alignment horizontal="center"/>
    </xf>
    <xf numFmtId="2" fontId="10" fillId="2" borderId="7" xfId="1" applyNumberFormat="1" applyFont="1" applyFill="1" applyBorder="1" applyAlignment="1">
      <alignment horizontal="right" vertical="center"/>
    </xf>
    <xf numFmtId="43" fontId="1" fillId="0" borderId="9" xfId="1" applyNumberFormat="1" applyBorder="1" applyAlignment="1">
      <alignment horizontal="left"/>
    </xf>
    <xf numFmtId="43" fontId="1" fillId="0" borderId="0" xfId="1" applyNumberFormat="1" applyBorder="1" applyAlignment="1">
      <alignment horizontal="left"/>
    </xf>
    <xf numFmtId="43" fontId="1" fillId="0" borderId="0" xfId="1" applyNumberFormat="1" applyFill="1" applyBorder="1" applyAlignment="1">
      <alignment horizontal="right"/>
    </xf>
    <xf numFmtId="43" fontId="1" fillId="0" borderId="10" xfId="1" applyNumberFormat="1" applyFill="1" applyBorder="1" applyAlignment="1">
      <alignment horizontal="right"/>
    </xf>
    <xf numFmtId="2" fontId="9" fillId="2" borderId="23" xfId="1" applyNumberFormat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0" fontId="11" fillId="0" borderId="10" xfId="0" applyFont="1" applyBorder="1"/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8" fillId="3" borderId="22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8" fillId="3" borderId="19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left" vertical="center"/>
    </xf>
    <xf numFmtId="0" fontId="5" fillId="5" borderId="26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8" fillId="3" borderId="22" xfId="1" applyFont="1" applyFill="1" applyBorder="1" applyAlignment="1">
      <alignment horizontal="left" vertical="center"/>
    </xf>
    <xf numFmtId="0" fontId="8" fillId="3" borderId="21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5" fillId="3" borderId="24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345618C7-3FED-0B4F-8F91-A5019E211CF3}"/>
  </cellStyles>
  <dxfs count="0"/>
  <tableStyles count="0" defaultTableStyle="TableStyleMedium2" defaultPivotStyle="PivotStyleLight16"/>
  <colors>
    <mruColors>
      <color rgb="FFD4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8E65-E0CC-6E4D-9ACA-A1950FE983B4}">
  <dimension ref="A1:L30"/>
  <sheetViews>
    <sheetView showGridLines="0" topLeftCell="A3" zoomScale="118" zoomScaleNormal="150" workbookViewId="0">
      <selection activeCell="M13" sqref="M13"/>
    </sheetView>
  </sheetViews>
  <sheetFormatPr baseColWidth="10" defaultColWidth="14.5" defaultRowHeight="16" outlineLevelRow="2" x14ac:dyDescent="0.2"/>
  <cols>
    <col min="1" max="1" width="3.5" style="2" customWidth="1"/>
    <col min="2" max="2" width="18.1640625" style="2" bestFit="1" customWidth="1"/>
    <col min="3" max="4" width="10.83203125" style="2" bestFit="1" customWidth="1"/>
    <col min="5" max="7" width="10.83203125" style="2" customWidth="1"/>
    <col min="8" max="8" width="1" style="2" customWidth="1"/>
    <col min="9" max="9" width="3.83203125" style="2" customWidth="1"/>
    <col min="10" max="10" width="15" style="2" bestFit="1" customWidth="1"/>
    <col min="11" max="11" width="16.6640625" style="2" bestFit="1" customWidth="1"/>
    <col min="12" max="12" width="3.5" style="2" customWidth="1"/>
    <col min="13" max="16384" width="14.5" style="2"/>
  </cols>
  <sheetData>
    <row r="1" spans="1:12" hidden="1" outlineLevel="2" x14ac:dyDescent="0.2">
      <c r="B1" s="66" t="s">
        <v>109</v>
      </c>
      <c r="D1" s="42">
        <v>44044</v>
      </c>
      <c r="E1" s="42">
        <v>44075</v>
      </c>
      <c r="F1" s="42">
        <v>44105</v>
      </c>
      <c r="G1" s="42">
        <v>44136</v>
      </c>
    </row>
    <row r="2" spans="1:12" hidden="1" outlineLevel="2" x14ac:dyDescent="0.2">
      <c r="B2" s="66" t="s">
        <v>110</v>
      </c>
      <c r="D2" s="42">
        <v>44074</v>
      </c>
      <c r="E2" s="42">
        <v>44104</v>
      </c>
      <c r="F2" s="42">
        <v>44135</v>
      </c>
      <c r="G2" s="42">
        <v>44165</v>
      </c>
    </row>
    <row r="3" spans="1:12" ht="17" collapsed="1" thickBo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6" customHeight="1" x14ac:dyDescent="0.35">
      <c r="A4" s="41"/>
      <c r="B4" s="131" t="s">
        <v>227</v>
      </c>
      <c r="C4" s="132"/>
      <c r="D4" s="132"/>
      <c r="E4" s="132"/>
      <c r="F4" s="132"/>
      <c r="G4" s="132"/>
      <c r="H4" s="133"/>
      <c r="I4" s="41"/>
      <c r="J4" s="139" t="s">
        <v>349</v>
      </c>
      <c r="K4" s="139"/>
      <c r="L4" s="126"/>
    </row>
    <row r="5" spans="1:12" ht="17" customHeight="1" thickBot="1" x14ac:dyDescent="0.4">
      <c r="A5" s="41"/>
      <c r="B5" s="134"/>
      <c r="C5" s="135"/>
      <c r="D5" s="135"/>
      <c r="E5" s="135"/>
      <c r="F5" s="135"/>
      <c r="G5" s="135"/>
      <c r="H5" s="136"/>
      <c r="I5" s="41"/>
      <c r="J5" s="139"/>
      <c r="K5" s="139"/>
      <c r="L5" s="126"/>
    </row>
    <row r="6" spans="1:12" ht="17" hidden="1" customHeight="1" outlineLevel="1" thickBot="1" x14ac:dyDescent="0.25">
      <c r="A6" s="41"/>
      <c r="B6" s="75"/>
      <c r="C6" s="77"/>
      <c r="D6" s="77"/>
      <c r="E6" s="77"/>
      <c r="F6" s="77"/>
      <c r="G6" s="77"/>
      <c r="H6" s="76"/>
      <c r="I6" s="41"/>
      <c r="J6" s="41"/>
      <c r="K6" s="41"/>
      <c r="L6" s="41"/>
    </row>
    <row r="7" spans="1:12" ht="16" customHeight="1" collapsed="1" x14ac:dyDescent="0.2">
      <c r="A7" s="41"/>
      <c r="B7" s="137" t="s">
        <v>67</v>
      </c>
      <c r="C7" s="23" t="s">
        <v>20</v>
      </c>
      <c r="D7" s="23" t="s">
        <v>123</v>
      </c>
      <c r="E7" s="23" t="s">
        <v>159</v>
      </c>
      <c r="F7" s="23" t="s">
        <v>197</v>
      </c>
      <c r="G7" s="23" t="s">
        <v>218</v>
      </c>
      <c r="H7" s="18"/>
      <c r="I7" s="41"/>
      <c r="J7" s="41"/>
      <c r="K7" s="41"/>
      <c r="L7" s="41"/>
    </row>
    <row r="8" spans="1:12" ht="16" customHeight="1" thickBot="1" x14ac:dyDescent="0.25">
      <c r="A8" s="41"/>
      <c r="B8" s="137"/>
      <c r="C8" s="69">
        <f t="shared" ref="C8:C12" si="0">SUM(D8:H8)</f>
        <v>168</v>
      </c>
      <c r="D8" s="16">
        <f>COUNTIFS('Blackbook Results'!$D:$D,"&gt;="&amp;D$1,'Blackbook Results'!$D:$D,"&lt;="&amp;D$2,'Blackbook Results'!$B:$B,"&gt;0")</f>
        <v>33</v>
      </c>
      <c r="E8" s="16">
        <f>COUNTIFS('Blackbook Results'!$D:$D,"&gt;="&amp;E$1,'Blackbook Results'!$D:$D,"&lt;="&amp;E$2,'Blackbook Results'!$B:$B,"&gt;0")</f>
        <v>41</v>
      </c>
      <c r="F8" s="16">
        <f>COUNTIFS('Blackbook Results'!$D:$D,"&gt;="&amp;F$1,'Blackbook Results'!$D:$D,"&lt;="&amp;F$2,'Blackbook Results'!$B:$B,"&gt;0")</f>
        <v>38</v>
      </c>
      <c r="G8" s="16">
        <f>COUNTIFS('Blackbook Results'!$D:$D,"&gt;="&amp;G$1,'Blackbook Results'!$D:$D,"&lt;="&amp;G$2,'Blackbook Results'!$B:$B,"&gt;0")</f>
        <v>56</v>
      </c>
      <c r="H8" s="4"/>
      <c r="I8" s="41"/>
      <c r="J8" s="138" t="s">
        <v>350</v>
      </c>
      <c r="K8" s="138"/>
      <c r="L8" s="41"/>
    </row>
    <row r="9" spans="1:12" x14ac:dyDescent="0.2">
      <c r="A9" s="41"/>
      <c r="B9" s="14" t="s">
        <v>12</v>
      </c>
      <c r="C9" s="15">
        <f>SUM(D9:H9)</f>
        <v>54</v>
      </c>
      <c r="D9" s="15">
        <f>COUNTIFS('Blackbook Results'!$D:$D,"&gt;="&amp;D$1,'Blackbook Results'!$D:$D,"&lt;="&amp;D$2,'Blackbook Results'!$L:$L,$B9,'Blackbook Results'!$B:$B,"&gt;0")</f>
        <v>11</v>
      </c>
      <c r="E9" s="15">
        <f>COUNTIFS('Blackbook Results'!$D:$D,"&gt;="&amp;E$1,'Blackbook Results'!$D:$D,"&lt;="&amp;E$2,'Blackbook Results'!$L:$L,$B9,'Blackbook Results'!$B:$B,"&gt;0")</f>
        <v>11</v>
      </c>
      <c r="F9" s="15">
        <f>COUNTIFS('Blackbook Results'!$D:$D,"&gt;="&amp;F$1,'Blackbook Results'!$D:$D,"&lt;="&amp;F$2,'Blackbook Results'!$L:$L,$B9,'Blackbook Results'!$B:$B,"&gt;0")</f>
        <v>12</v>
      </c>
      <c r="G9" s="15">
        <f>COUNTIFS('Blackbook Results'!$D:$D,"&gt;="&amp;G$1,'Blackbook Results'!$D:$D,"&lt;="&amp;G$2,'Blackbook Results'!$L:$L,$B9,'Blackbook Results'!$B:$B,"&gt;0")</f>
        <v>20</v>
      </c>
      <c r="H9" s="4"/>
      <c r="I9" s="41"/>
      <c r="J9" s="40"/>
      <c r="K9" s="125"/>
      <c r="L9" s="41"/>
    </row>
    <row r="10" spans="1:12" x14ac:dyDescent="0.2">
      <c r="A10" s="41"/>
      <c r="B10" s="14" t="s">
        <v>15</v>
      </c>
      <c r="C10" s="15">
        <f t="shared" si="0"/>
        <v>27</v>
      </c>
      <c r="D10" s="15">
        <f>COUNTIFS('Blackbook Results'!$D:$D,"&gt;="&amp;D$1,'Blackbook Results'!$D:$D,"&lt;="&amp;D$2,'Blackbook Results'!$L:$L,$B10,'Blackbook Results'!$B:$B,"&gt;0")</f>
        <v>6</v>
      </c>
      <c r="E10" s="15">
        <f>COUNTIFS('Blackbook Results'!$D:$D,"&gt;="&amp;E$1,'Blackbook Results'!$D:$D,"&lt;="&amp;E$2,'Blackbook Results'!$L:$L,$B10,'Blackbook Results'!$B:$B,"&gt;0")</f>
        <v>5</v>
      </c>
      <c r="F10" s="15">
        <f>COUNTIFS('Blackbook Results'!$D:$D,"&gt;="&amp;F$1,'Blackbook Results'!$D:$D,"&lt;="&amp;F$2,'Blackbook Results'!$L:$L,$B10,'Blackbook Results'!$B:$B,"&gt;0")</f>
        <v>7</v>
      </c>
      <c r="G10" s="15">
        <f>COUNTIFS('Blackbook Results'!$D:$D,"&gt;="&amp;G$1,'Blackbook Results'!$D:$D,"&lt;="&amp;G$2,'Blackbook Results'!$L:$L,$B10,'Blackbook Results'!$B:$B,"&gt;0")</f>
        <v>9</v>
      </c>
      <c r="H10" s="4"/>
      <c r="I10" s="41"/>
      <c r="J10" s="40" t="str">
        <f>ROUND($C$8,0)&amp;" runners | "</f>
        <v xml:space="preserve">168 runners | </v>
      </c>
      <c r="K10" s="125" t="str">
        <f>ROUND($C$9,0)&amp;"x wins ("&amp;(ROUND($C$15,2)*100)&amp;"%)"</f>
        <v>54x wins (32%)</v>
      </c>
      <c r="L10" s="41"/>
    </row>
    <row r="11" spans="1:12" x14ac:dyDescent="0.2">
      <c r="A11" s="41"/>
      <c r="B11" s="14" t="s">
        <v>11</v>
      </c>
      <c r="C11" s="15">
        <f t="shared" si="0"/>
        <v>30</v>
      </c>
      <c r="D11" s="15">
        <f>COUNTIFS('Blackbook Results'!$D:$D,"&gt;="&amp;D$1,'Blackbook Results'!$D:$D,"&lt;="&amp;D$2,'Blackbook Results'!$L:$L,$B11,'Blackbook Results'!$B:$B,"&gt;0")</f>
        <v>4</v>
      </c>
      <c r="E11" s="15">
        <f>COUNTIFS('Blackbook Results'!$D:$D,"&gt;="&amp;E$1,'Blackbook Results'!$D:$D,"&lt;="&amp;E$2,'Blackbook Results'!$L:$L,$B11,'Blackbook Results'!$B:$B,"&gt;0")</f>
        <v>6</v>
      </c>
      <c r="F11" s="15">
        <f>COUNTIFS('Blackbook Results'!$D:$D,"&gt;="&amp;F$1,'Blackbook Results'!$D:$D,"&lt;="&amp;F$2,'Blackbook Results'!$L:$L,$B11,'Blackbook Results'!$B:$B,"&gt;0")</f>
        <v>8</v>
      </c>
      <c r="G11" s="15">
        <f>COUNTIFS('Blackbook Results'!$D:$D,"&gt;="&amp;G$1,'Blackbook Results'!$D:$D,"&lt;="&amp;G$2,'Blackbook Results'!$L:$L,$B11,'Blackbook Results'!$B:$B,"&gt;0")</f>
        <v>12</v>
      </c>
      <c r="H11" s="4"/>
      <c r="I11" s="41"/>
      <c r="J11" s="40" t="str">
        <f>" | "</f>
        <v xml:space="preserve"> | </v>
      </c>
      <c r="K11" s="125" t="str">
        <f>ROUND(($C$10+$C$11),0)&amp;"x placings ("&amp;(ROUND($C$16,2)*100)&amp;"%)"</f>
        <v>57x placings (66%)</v>
      </c>
      <c r="L11" s="41"/>
    </row>
    <row r="12" spans="1:12" x14ac:dyDescent="0.2">
      <c r="A12" s="41"/>
      <c r="B12" s="14" t="s">
        <v>61</v>
      </c>
      <c r="C12" s="15">
        <f t="shared" si="0"/>
        <v>9</v>
      </c>
      <c r="D12" s="15">
        <f>COUNTIFS('Blackbook Results'!$D:$D,"&gt;="&amp;D$1,'Blackbook Results'!$D:$D,"&lt;="&amp;D$2,'Blackbook Results'!$L:$L,$B12,'Blackbook Results'!$B:$B,"&gt;0")</f>
        <v>3</v>
      </c>
      <c r="E12" s="15">
        <f>COUNTIFS('Blackbook Results'!$D:$D,"&gt;="&amp;E$1,'Blackbook Results'!$D:$D,"&lt;="&amp;E$2,'Blackbook Results'!$L:$L,$B12,'Blackbook Results'!$B:$B,"&gt;0")</f>
        <v>1</v>
      </c>
      <c r="F12" s="15">
        <f>COUNTIFS('Blackbook Results'!$D:$D,"&gt;="&amp;F$1,'Blackbook Results'!$D:$D,"&lt;="&amp;F$2,'Blackbook Results'!$L:$L,$B12,'Blackbook Results'!$B:$B,"&gt;0")</f>
        <v>0</v>
      </c>
      <c r="G12" s="15">
        <f>COUNTIFS('Blackbook Results'!$D:$D,"&gt;="&amp;G$1,'Blackbook Results'!$D:$D,"&lt;="&amp;G$2,'Blackbook Results'!$L:$L,$B12,'Blackbook Results'!$B:$B,"&gt;0")</f>
        <v>5</v>
      </c>
      <c r="H12" s="4"/>
      <c r="I12" s="41"/>
      <c r="J12" s="41"/>
      <c r="K12" s="41"/>
      <c r="L12" s="41"/>
    </row>
    <row r="13" spans="1:12" x14ac:dyDescent="0.2">
      <c r="A13" s="41"/>
      <c r="B13" s="14" t="s">
        <v>10</v>
      </c>
      <c r="C13" s="15">
        <f t="shared" ref="C13:D13" si="1">C8-SUM(C9:C12)</f>
        <v>48</v>
      </c>
      <c r="D13" s="15">
        <f t="shared" si="1"/>
        <v>9</v>
      </c>
      <c r="E13" s="15">
        <f t="shared" ref="E13:F13" si="2">E8-SUM(E9:E12)</f>
        <v>18</v>
      </c>
      <c r="F13" s="15">
        <f t="shared" si="2"/>
        <v>11</v>
      </c>
      <c r="G13" s="15">
        <f t="shared" ref="G13" si="3">G8-SUM(G9:G12)</f>
        <v>10</v>
      </c>
      <c r="H13" s="4"/>
      <c r="I13" s="41"/>
      <c r="J13" s="40" t="str">
        <f>"Ave Betfair SP | "</f>
        <v xml:space="preserve">Ave Betfair SP | </v>
      </c>
      <c r="K13" s="125" t="str">
        <f>"Win "&amp;DOLLAR($C$20,2)</f>
        <v>Win $6.78</v>
      </c>
      <c r="L13" s="41"/>
    </row>
    <row r="14" spans="1:12" x14ac:dyDescent="0.2">
      <c r="A14" s="41"/>
      <c r="B14" s="14"/>
      <c r="C14" s="9"/>
      <c r="D14" s="15"/>
      <c r="E14" s="15"/>
      <c r="F14" s="15"/>
      <c r="G14" s="15"/>
      <c r="H14" s="4"/>
      <c r="I14" s="41"/>
      <c r="J14" s="40" t="str">
        <f>" | "</f>
        <v xml:space="preserve"> | </v>
      </c>
      <c r="K14" s="125" t="str">
        <f>"Place "&amp;DOLLAR($C$21,2)</f>
        <v>Place $2.09</v>
      </c>
      <c r="L14" s="41"/>
    </row>
    <row r="15" spans="1:12" x14ac:dyDescent="0.2">
      <c r="A15" s="41"/>
      <c r="B15" s="7" t="s">
        <v>9</v>
      </c>
      <c r="C15" s="8">
        <f>IFERROR(C$9/C$8,"n/a")</f>
        <v>0.32142857142857145</v>
      </c>
      <c r="D15" s="8">
        <f>IFERROR(D$9/D$8,"n/a")</f>
        <v>0.33333333333333331</v>
      </c>
      <c r="E15" s="8">
        <f>IFERROR(E$9/E$8,"n/a")</f>
        <v>0.26829268292682928</v>
      </c>
      <c r="F15" s="8">
        <f>IFERROR(F$9/F$8,"n/a")</f>
        <v>0.31578947368421051</v>
      </c>
      <c r="G15" s="8">
        <f>IFERROR(G$9/G$8,"n/a")</f>
        <v>0.35714285714285715</v>
      </c>
      <c r="H15" s="4"/>
      <c r="I15" s="41"/>
      <c r="J15" s="41"/>
      <c r="K15" s="41"/>
      <c r="L15" s="41"/>
    </row>
    <row r="16" spans="1:12" x14ac:dyDescent="0.2">
      <c r="A16" s="41"/>
      <c r="B16" s="7" t="s">
        <v>7</v>
      </c>
      <c r="C16" s="8">
        <f>IFERROR((SUM(C$9:C$11))/C$8,"n/a")</f>
        <v>0.6607142857142857</v>
      </c>
      <c r="D16" s="8">
        <f>IFERROR((SUM(D$9:D$11))/D$8,"n/a")</f>
        <v>0.63636363636363635</v>
      </c>
      <c r="E16" s="8">
        <f>IFERROR((SUM(E$9:E$11))/E$8,"n/a")</f>
        <v>0.53658536585365857</v>
      </c>
      <c r="F16" s="8">
        <f>IFERROR((SUM(F$9:F$11))/F$8,"n/a")</f>
        <v>0.71052631578947367</v>
      </c>
      <c r="G16" s="8">
        <f>IFERROR((SUM(G$9:G$11))/G$8,"n/a")</f>
        <v>0.7321428571428571</v>
      </c>
      <c r="H16" s="4"/>
      <c r="I16" s="41"/>
      <c r="J16" s="140"/>
      <c r="K16" s="140"/>
      <c r="L16" s="41"/>
    </row>
    <row r="17" spans="1:12" ht="17" thickBot="1" x14ac:dyDescent="0.25">
      <c r="A17" s="41"/>
      <c r="B17" s="7"/>
      <c r="C17" s="8"/>
      <c r="D17" s="8"/>
      <c r="E17" s="8"/>
      <c r="F17" s="8"/>
      <c r="G17" s="8"/>
      <c r="H17" s="4"/>
      <c r="I17" s="41"/>
      <c r="J17" s="41"/>
      <c r="K17" s="41"/>
      <c r="L17" s="41"/>
    </row>
    <row r="18" spans="1:12" ht="16" customHeight="1" x14ac:dyDescent="0.2">
      <c r="A18" s="41"/>
      <c r="B18" s="127" t="s">
        <v>103</v>
      </c>
      <c r="C18" s="128"/>
      <c r="D18" s="128"/>
      <c r="E18" s="79"/>
      <c r="F18" s="82"/>
      <c r="G18" s="99"/>
      <c r="H18" s="59"/>
      <c r="I18" s="41"/>
      <c r="J18" s="41"/>
      <c r="K18" s="41"/>
      <c r="L18" s="41"/>
    </row>
    <row r="19" spans="1:12" ht="16" customHeight="1" x14ac:dyDescent="0.2">
      <c r="A19" s="41"/>
      <c r="B19" s="129"/>
      <c r="C19" s="130"/>
      <c r="D19" s="130"/>
      <c r="E19" s="78"/>
      <c r="F19" s="83"/>
      <c r="G19" s="100"/>
      <c r="H19" s="18"/>
      <c r="I19" s="41"/>
      <c r="J19" s="41"/>
      <c r="K19" s="41"/>
      <c r="L19" s="41"/>
    </row>
    <row r="20" spans="1:12" x14ac:dyDescent="0.2">
      <c r="A20" s="41"/>
      <c r="B20" s="19" t="s">
        <v>5</v>
      </c>
      <c r="C20" s="27">
        <f>IFERROR(AVERAGE('Blackbook Results'!$M:$M),"N/A")</f>
        <v>6.7816071428571423</v>
      </c>
      <c r="D20" s="27">
        <f>IFERROR(AVERAGEIFS('Blackbook Results'!$M:$M,'Blackbook Results'!$D:$D,"&gt;="&amp;D$1,'Blackbook Results'!$D:$D,"&lt;="&amp;D$2),"N/A")</f>
        <v>4.6445454545454545</v>
      </c>
      <c r="E20" s="27">
        <f>IFERROR(AVERAGEIFS('Blackbook Results'!$M:$M,'Blackbook Results'!$D:$D,"&gt;="&amp;E$1,'Blackbook Results'!$D:$D,"&lt;="&amp;E$2),"N/A")</f>
        <v>6.2963414634146346</v>
      </c>
      <c r="F20" s="27">
        <f>IFERROR(AVERAGEIFS('Blackbook Results'!$M:$M,'Blackbook Results'!$D:$D,"&gt;="&amp;F$1,'Blackbook Results'!$D:$D,"&lt;="&amp;F$2),"N/A")</f>
        <v>8.1986842105263182</v>
      </c>
      <c r="G20" s="27">
        <f>IFERROR(AVERAGEIFS('Blackbook Results'!$M:$M,'Blackbook Results'!$D:$D,"&gt;="&amp;G$1,'Blackbook Results'!$D:$D,"&lt;="&amp;G$2),"N/A")</f>
        <v>7.4346428571428573</v>
      </c>
      <c r="H20" s="18"/>
      <c r="I20" s="41"/>
      <c r="J20" s="41"/>
      <c r="K20" s="41"/>
      <c r="L20" s="41"/>
    </row>
    <row r="21" spans="1:12" x14ac:dyDescent="0.2">
      <c r="A21" s="41"/>
      <c r="B21" s="19" t="s">
        <v>4</v>
      </c>
      <c r="C21" s="27">
        <f>IFERROR(AVERAGE('Blackbook Results'!$O:$O),"N/A")</f>
        <v>2.0855952380952387</v>
      </c>
      <c r="D21" s="27">
        <f>IFERROR(AVERAGEIFS('Blackbook Results'!$O:$O,'Blackbook Results'!$D:$D,"&gt;="&amp;D$1,'Blackbook Results'!$D:$D,"&lt;="&amp;D$2),"N/A")</f>
        <v>1.8269696969696969</v>
      </c>
      <c r="E21" s="27">
        <f>IFERROR(AVERAGEIFS('Blackbook Results'!$O:$O,'Blackbook Results'!$D:$D,"&gt;="&amp;E$1,'Blackbook Results'!$D:$D,"&lt;="&amp;E$2),"N/A")</f>
        <v>2.1382926829268292</v>
      </c>
      <c r="F21" s="27">
        <f>IFERROR(AVERAGEIFS('Blackbook Results'!$O:$O,'Blackbook Results'!$D:$D,"&gt;="&amp;F$1,'Blackbook Results'!$D:$D,"&lt;="&amp;F$2),"N/A")</f>
        <v>2.286578947368421</v>
      </c>
      <c r="G21" s="27">
        <f>IFERROR(AVERAGEIFS('Blackbook Results'!$O:$O,'Blackbook Results'!$D:$D,"&gt;="&amp;G$1,'Blackbook Results'!$D:$D,"&lt;="&amp;G$2),"N/A")</f>
        <v>2.0630357142857134</v>
      </c>
      <c r="H21" s="18"/>
      <c r="I21" s="41"/>
      <c r="J21" s="41"/>
      <c r="K21" s="41"/>
      <c r="L21" s="41"/>
    </row>
    <row r="22" spans="1:12" hidden="1" outlineLevel="1" x14ac:dyDescent="0.2">
      <c r="A22" s="41"/>
      <c r="B22" s="19"/>
      <c r="C22" s="26"/>
      <c r="D22" s="26"/>
      <c r="E22" s="26"/>
      <c r="F22" s="26"/>
      <c r="G22" s="26"/>
      <c r="H22" s="18"/>
      <c r="I22" s="41"/>
      <c r="J22" s="41"/>
      <c r="K22" s="41"/>
      <c r="L22" s="41"/>
    </row>
    <row r="23" spans="1:12" hidden="1" outlineLevel="1" x14ac:dyDescent="0.2">
      <c r="A23" s="41"/>
      <c r="B23" s="19" t="s">
        <v>3</v>
      </c>
      <c r="C23" s="22">
        <f>SUM('Blackbook Results'!$N:$N,'Blackbook Results'!$P:$P)</f>
        <v>967.11400333554775</v>
      </c>
      <c r="D23" s="22">
        <f>SUMIFS('Blackbook Results'!$N:$N,'Blackbook Results'!$D:$D,"&lt;="&amp;D$2,'Blackbook Results'!$D:$D,"&gt;="&amp;D$1)+SUMIFS('Blackbook Results'!$P:$P,'Blackbook Results'!$D:$D,"&lt;="&amp;D$2,'Blackbook Results'!$D:$D,"&gt;="&amp;D$1)</f>
        <v>265.71527952184476</v>
      </c>
      <c r="E23" s="22">
        <f>SUMIFS('Blackbook Results'!$N:$N,'Blackbook Results'!$D:$D,"&lt;="&amp;E$2,'Blackbook Results'!$D:$D,"&gt;="&amp;E$1)+SUMIFS('Blackbook Results'!$P:$P,'Blackbook Results'!$D:$D,"&lt;="&amp;E$2,'Blackbook Results'!$D:$D,"&gt;="&amp;E$1)</f>
        <v>190.96224668784663</v>
      </c>
      <c r="F23" s="22">
        <f>SUMIFS('Blackbook Results'!$N:$N,'Blackbook Results'!$D:$D,"&lt;="&amp;F$2,'Blackbook Results'!$D:$D,"&gt;="&amp;F$1)+SUMIFS('Blackbook Results'!$P:$P,'Blackbook Results'!$D:$D,"&lt;="&amp;F$2,'Blackbook Results'!$D:$D,"&gt;="&amp;F$1)</f>
        <v>179.46093991654357</v>
      </c>
      <c r="G23" s="22">
        <f>SUMIFS('Blackbook Results'!$N:$N,'Blackbook Results'!$D:$D,"&lt;="&amp;G$2,'Blackbook Results'!$D:$D,"&gt;="&amp;G$1)+SUMIFS('Blackbook Results'!$P:$P,'Blackbook Results'!$D:$D,"&lt;="&amp;G$2,'Blackbook Results'!$D:$D,"&gt;="&amp;G$1)</f>
        <v>330.97553720931296</v>
      </c>
      <c r="H23" s="18"/>
      <c r="I23" s="41"/>
      <c r="J23" s="41"/>
      <c r="K23" s="41"/>
      <c r="L23" s="41"/>
    </row>
    <row r="24" spans="1:12" hidden="1" outlineLevel="1" x14ac:dyDescent="0.2">
      <c r="A24" s="41"/>
      <c r="B24" s="19" t="s">
        <v>2</v>
      </c>
      <c r="C24" s="22">
        <f>SUM('Blackbook Results'!$Q:$Q)+C$23</f>
        <v>1091.2740033355476</v>
      </c>
      <c r="D24" s="22">
        <f>SUMIFS('Blackbook Results'!$Q:$Q,'Blackbook Results'!$D:$D,"&lt;="&amp;D$2,'Blackbook Results'!$D:$D,"&gt;="&amp;D$1)+D23</f>
        <v>268.47527952184475</v>
      </c>
      <c r="E24" s="22">
        <f>SUMIFS('Blackbook Results'!$Q:$Q,'Blackbook Results'!$D:$D,"&lt;="&amp;E$2,'Blackbook Results'!$D:$D,"&gt;="&amp;E$1)+E23</f>
        <v>214.66224668784662</v>
      </c>
      <c r="F24" s="22">
        <f>SUMIFS('Blackbook Results'!$Q:$Q,'Blackbook Results'!$D:$D,"&lt;="&amp;F$2,'Blackbook Results'!$D:$D,"&gt;="&amp;F$1)+F23</f>
        <v>231.76093991654358</v>
      </c>
      <c r="G24" s="22">
        <f>SUMIFS('Blackbook Results'!$Q:$Q,'Blackbook Results'!$D:$D,"&lt;="&amp;G$2,'Blackbook Results'!$D:$D,"&gt;="&amp;G$1)+G23</f>
        <v>376.37553720931294</v>
      </c>
      <c r="H24" s="18"/>
      <c r="I24" s="41"/>
      <c r="J24" s="41"/>
      <c r="K24" s="41"/>
      <c r="L24" s="41"/>
    </row>
    <row r="25" spans="1:12" hidden="1" outlineLevel="1" x14ac:dyDescent="0.2">
      <c r="A25" s="41"/>
      <c r="B25" s="19" t="s">
        <v>62</v>
      </c>
      <c r="C25" s="60">
        <f t="shared" ref="C25:D25" si="4">IFERROR((C24-C23)/C23,"N/A")</f>
        <v>0.12838196900445623</v>
      </c>
      <c r="D25" s="60">
        <f t="shared" si="4"/>
        <v>1.0387057925184495E-2</v>
      </c>
      <c r="E25" s="60">
        <f t="shared" ref="E25:F25" si="5">IFERROR((E24-E23)/E23,"N/A")</f>
        <v>0.12410830104413682</v>
      </c>
      <c r="F25" s="60">
        <f t="shared" si="5"/>
        <v>0.29142831874346353</v>
      </c>
      <c r="G25" s="60">
        <f t="shared" ref="G25" si="6">IFERROR((G24-G23)/G23,"N/A")</f>
        <v>0.13717025851154813</v>
      </c>
      <c r="H25" s="18"/>
      <c r="I25" s="41"/>
      <c r="J25" s="41"/>
      <c r="K25" s="41"/>
      <c r="L25" s="41"/>
    </row>
    <row r="26" spans="1:12" hidden="1" outlineLevel="1" x14ac:dyDescent="0.2">
      <c r="A26" s="41"/>
      <c r="B26" s="19" t="s">
        <v>101</v>
      </c>
      <c r="C26" s="6" t="str">
        <f>ROUND(SUM('Blackbook Results'!$Q:$Q),1)&amp;" units"</f>
        <v>124.2 units</v>
      </c>
      <c r="D26" s="5" t="str">
        <f>ROUND(SUMIFS('Blackbook Results'!$Q:$Q,'Blackbook Results'!$D:$D,"&lt;="&amp;D$2,'Blackbook Results'!$D:$D,"&gt;="&amp;D$1),1)&amp;" units"</f>
        <v>2.8 units</v>
      </c>
      <c r="E26" s="5" t="str">
        <f>ROUND(SUMIFS('Blackbook Results'!$Q:$Q,'Blackbook Results'!$D:$D,"&lt;="&amp;E$2,'Blackbook Results'!$D:$D,"&gt;="&amp;E$1),1)&amp;" units"</f>
        <v>23.7 units</v>
      </c>
      <c r="F26" s="5" t="str">
        <f>ROUND(SUMIFS('Blackbook Results'!$Q:$Q,'Blackbook Results'!$D:$D,"&lt;="&amp;F$2,'Blackbook Results'!$D:$D,"&gt;="&amp;F$1),1)&amp;" units"</f>
        <v>52.3 units</v>
      </c>
      <c r="G26" s="5" t="str">
        <f>ROUND(SUMIFS('Blackbook Results'!$Q:$Q,'Blackbook Results'!$D:$D,"&lt;="&amp;G$2,'Blackbook Results'!$D:$D,"&gt;="&amp;G$1),1)&amp;" units"</f>
        <v>45.4 units</v>
      </c>
      <c r="H26" s="18"/>
      <c r="I26" s="41"/>
      <c r="J26" s="41"/>
      <c r="K26" s="41"/>
      <c r="L26" s="41"/>
    </row>
    <row r="27" spans="1:12" ht="17" collapsed="1" thickBot="1" x14ac:dyDescent="0.25">
      <c r="A27" s="41"/>
      <c r="B27" s="28"/>
      <c r="C27" s="29"/>
      <c r="D27" s="30"/>
      <c r="E27" s="30"/>
      <c r="F27" s="30"/>
      <c r="G27" s="30"/>
      <c r="H27" s="31"/>
      <c r="I27" s="41"/>
      <c r="J27" s="41"/>
      <c r="K27" s="41"/>
      <c r="L27" s="41"/>
    </row>
    <row r="28" spans="1:12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x14ac:dyDescent="0.2">
      <c r="C29" s="73"/>
    </row>
    <row r="30" spans="1:12" x14ac:dyDescent="0.2">
      <c r="C30" s="73"/>
    </row>
  </sheetData>
  <sheetProtection algorithmName="SHA-512" hashValue="WAtzTYM5wo/rkUlUAko0QDga3d1EZmm0MM0fkvzlsH4gM738W8FtT9q7dPQFowFe/H2OSKFx1MiYr3YLA2557g==" saltValue="wYrb/IZ9ZeZKdEgPZuMWfA==" spinCount="100000" sheet="1" objects="1" scenarios="1"/>
  <mergeCells count="6">
    <mergeCell ref="B18:D19"/>
    <mergeCell ref="B4:H5"/>
    <mergeCell ref="B7:B8"/>
    <mergeCell ref="J8:K8"/>
    <mergeCell ref="J4:K5"/>
    <mergeCell ref="J16:K1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9ED1-2539-DA48-AC1D-72570197F8C1}">
  <sheetPr>
    <pageSetUpPr fitToPage="1"/>
  </sheetPr>
  <dimension ref="B2:AP176"/>
  <sheetViews>
    <sheetView showGridLines="0" zoomScaleNormal="100" workbookViewId="0">
      <pane xSplit="3" ySplit="3" topLeftCell="D4" activePane="bottomRight" state="frozen"/>
      <selection activeCell="E126" sqref="E126"/>
      <selection pane="topRight" activeCell="E126" sqref="E126"/>
      <selection pane="bottomLeft" activeCell="E126" sqref="E126"/>
      <selection pane="bottomRight" activeCell="U167" sqref="U167"/>
    </sheetView>
  </sheetViews>
  <sheetFormatPr baseColWidth="10" defaultColWidth="14.5" defaultRowHeight="16" outlineLevelRow="1" outlineLevelCol="1" x14ac:dyDescent="0.2"/>
  <cols>
    <col min="1" max="1" width="4.33203125" style="2" customWidth="1"/>
    <col min="2" max="2" width="4.1640625" style="2" bestFit="1" customWidth="1"/>
    <col min="3" max="3" width="32.5" style="2" bestFit="1" customWidth="1"/>
    <col min="4" max="4" width="10.6640625" style="2" bestFit="1" customWidth="1"/>
    <col min="5" max="5" width="13.33203125" style="2" bestFit="1" customWidth="1"/>
    <col min="6" max="6" width="5.1640625" style="2" bestFit="1" customWidth="1"/>
    <col min="7" max="7" width="6" style="67" bestFit="1" customWidth="1"/>
    <col min="8" max="8" width="8.83203125" style="67" customWidth="1"/>
    <col min="9" max="9" width="8.83203125" style="67" bestFit="1" customWidth="1"/>
    <col min="10" max="10" width="5.1640625" style="2" customWidth="1"/>
    <col min="11" max="11" width="6.83203125" style="67" bestFit="1" customWidth="1"/>
    <col min="12" max="12" width="6.33203125" style="2" bestFit="1" customWidth="1"/>
    <col min="13" max="13" width="9" style="2" bestFit="1" customWidth="1"/>
    <col min="14" max="14" width="6" style="2" hidden="1" customWidth="1" outlineLevel="1"/>
    <col min="15" max="15" width="8" style="2" bestFit="1" customWidth="1" collapsed="1"/>
    <col min="16" max="16" width="5.5" style="2" hidden="1" customWidth="1" outlineLevel="1"/>
    <col min="17" max="17" width="6.6640625" style="2" hidden="1" customWidth="1" outlineLevel="1"/>
    <col min="18" max="18" width="7" style="2" hidden="1" customWidth="1" outlineLevel="1"/>
    <col min="19" max="19" width="14.5" collapsed="1"/>
    <col min="43" max="16384" width="14.5" style="2"/>
  </cols>
  <sheetData>
    <row r="2" spans="2:19" x14ac:dyDescent="0.2">
      <c r="B2" s="85"/>
      <c r="C2" s="34"/>
      <c r="D2" s="84"/>
      <c r="E2" s="34"/>
      <c r="F2" s="34"/>
      <c r="G2" s="84"/>
      <c r="H2" s="84"/>
      <c r="I2" s="84"/>
      <c r="J2" s="34"/>
      <c r="K2" s="84"/>
      <c r="L2" s="84"/>
      <c r="M2" s="141" t="s">
        <v>108</v>
      </c>
      <c r="N2" s="142"/>
      <c r="O2" s="142"/>
      <c r="P2" s="142"/>
      <c r="Q2" s="142"/>
      <c r="R2" s="143"/>
      <c r="S2" s="113"/>
    </row>
    <row r="3" spans="2:19" x14ac:dyDescent="0.2">
      <c r="B3" s="35" t="s">
        <v>127</v>
      </c>
      <c r="C3" s="24" t="s">
        <v>27</v>
      </c>
      <c r="D3" s="32" t="s">
        <v>1</v>
      </c>
      <c r="E3" s="24" t="s">
        <v>26</v>
      </c>
      <c r="F3" s="24" t="s">
        <v>25</v>
      </c>
      <c r="G3" s="32" t="s">
        <v>71</v>
      </c>
      <c r="H3" s="32" t="s">
        <v>135</v>
      </c>
      <c r="I3" s="32" t="s">
        <v>134</v>
      </c>
      <c r="J3" s="24" t="s">
        <v>117</v>
      </c>
      <c r="K3" s="32" t="s">
        <v>124</v>
      </c>
      <c r="L3" s="32" t="s">
        <v>22</v>
      </c>
      <c r="M3" s="37" t="s">
        <v>24</v>
      </c>
      <c r="N3" s="32" t="s">
        <v>21</v>
      </c>
      <c r="O3" s="32" t="s">
        <v>23</v>
      </c>
      <c r="P3" s="32" t="s">
        <v>21</v>
      </c>
      <c r="Q3" s="32" t="s">
        <v>19</v>
      </c>
      <c r="R3" s="25" t="s">
        <v>99</v>
      </c>
      <c r="S3" s="113"/>
    </row>
    <row r="4" spans="2:19" customFormat="1" outlineLevel="1" x14ac:dyDescent="0.2">
      <c r="B4" s="48">
        <v>1</v>
      </c>
      <c r="C4" s="36" t="s">
        <v>122</v>
      </c>
      <c r="D4" s="86">
        <v>44044</v>
      </c>
      <c r="E4" s="36" t="s">
        <v>30</v>
      </c>
      <c r="F4" s="36" t="s">
        <v>13</v>
      </c>
      <c r="G4" s="70" t="s">
        <v>112</v>
      </c>
      <c r="H4" s="70">
        <v>1000</v>
      </c>
      <c r="I4" s="74" t="s">
        <v>130</v>
      </c>
      <c r="J4" s="36" t="s">
        <v>118</v>
      </c>
      <c r="K4" s="70">
        <v>3</v>
      </c>
      <c r="L4" s="47" t="s">
        <v>61</v>
      </c>
      <c r="M4" s="46">
        <v>4.8600000000000003</v>
      </c>
      <c r="N4" s="38">
        <v>2.5812903225806449</v>
      </c>
      <c r="O4" s="39">
        <v>1.82</v>
      </c>
      <c r="P4" s="38">
        <v>3.1169230769230767</v>
      </c>
      <c r="Q4" s="55">
        <f>ROUND(IF(OR($L4="1st",$L4="WON"),($M4*$N4)+($O4*$P4),IF(OR($L4="2nd",$L4="3rd"),IF($O4="NTD",0,($O4*$P4))))-($N4+$P4),2)</f>
        <v>-5.7</v>
      </c>
      <c r="R4" s="57">
        <f>Q4</f>
        <v>-5.7</v>
      </c>
      <c r="S4" s="113"/>
    </row>
    <row r="5" spans="2:19" customFormat="1" outlineLevel="1" x14ac:dyDescent="0.2">
      <c r="B5" s="48">
        <f t="shared" ref="B5:B20" si="0">B4+1</f>
        <v>2</v>
      </c>
      <c r="C5" s="36" t="s">
        <v>125</v>
      </c>
      <c r="D5" s="86">
        <v>44044</v>
      </c>
      <c r="E5" s="36" t="s">
        <v>59</v>
      </c>
      <c r="F5" s="36" t="s">
        <v>28</v>
      </c>
      <c r="G5" s="70" t="s">
        <v>70</v>
      </c>
      <c r="H5" s="70">
        <v>1200</v>
      </c>
      <c r="I5" s="74" t="s">
        <v>131</v>
      </c>
      <c r="J5" s="36" t="s">
        <v>118</v>
      </c>
      <c r="K5" s="70">
        <v>8</v>
      </c>
      <c r="L5" s="47" t="s">
        <v>15</v>
      </c>
      <c r="M5" s="12">
        <v>1.66</v>
      </c>
      <c r="N5" s="38">
        <v>15.1850986937591</v>
      </c>
      <c r="O5" s="39">
        <v>1.1599999999999999</v>
      </c>
      <c r="P5" s="38">
        <v>0</v>
      </c>
      <c r="Q5" s="55">
        <f t="shared" ref="Q5:Q36" si="1">ROUND(IF(OR($L5="1st",$L5="WON"),($M5*$N5)+($O5*$P5),IF(OR($L5="2nd",$L5="3rd"),IF($O5="NTD",0,($O5*$P5))))-($N5+$P5),2)</f>
        <v>-15.19</v>
      </c>
      <c r="R5" s="57">
        <f t="shared" ref="R5:R9" si="2">Q5+R4</f>
        <v>-20.89</v>
      </c>
      <c r="S5" s="113"/>
    </row>
    <row r="6" spans="2:19" customFormat="1" outlineLevel="1" x14ac:dyDescent="0.2">
      <c r="B6" s="48">
        <f t="shared" si="0"/>
        <v>3</v>
      </c>
      <c r="C6" s="36" t="s">
        <v>120</v>
      </c>
      <c r="D6" s="86">
        <v>44044</v>
      </c>
      <c r="E6" s="36" t="s">
        <v>59</v>
      </c>
      <c r="F6" s="36" t="s">
        <v>39</v>
      </c>
      <c r="G6" s="70" t="s">
        <v>70</v>
      </c>
      <c r="H6" s="70">
        <v>1350</v>
      </c>
      <c r="I6" s="74" t="s">
        <v>131</v>
      </c>
      <c r="J6" s="36" t="s">
        <v>118</v>
      </c>
      <c r="K6" s="70">
        <v>11</v>
      </c>
      <c r="L6" s="47" t="s">
        <v>61</v>
      </c>
      <c r="M6" s="12">
        <v>3.24</v>
      </c>
      <c r="N6" s="38">
        <v>4.4857142857142804</v>
      </c>
      <c r="O6" s="39">
        <v>1.56</v>
      </c>
      <c r="P6" s="38">
        <v>0</v>
      </c>
      <c r="Q6" s="55">
        <f t="shared" si="1"/>
        <v>-4.49</v>
      </c>
      <c r="R6" s="57">
        <f t="shared" si="2"/>
        <v>-25.380000000000003</v>
      </c>
      <c r="S6" s="113"/>
    </row>
    <row r="7" spans="2:19" customFormat="1" outlineLevel="1" x14ac:dyDescent="0.2">
      <c r="B7" s="48">
        <f t="shared" si="0"/>
        <v>4</v>
      </c>
      <c r="C7" s="36" t="s">
        <v>78</v>
      </c>
      <c r="D7" s="86">
        <v>44044</v>
      </c>
      <c r="E7" s="36" t="s">
        <v>59</v>
      </c>
      <c r="F7" s="36" t="s">
        <v>32</v>
      </c>
      <c r="G7" s="70" t="s">
        <v>73</v>
      </c>
      <c r="H7" s="70">
        <v>1000</v>
      </c>
      <c r="I7" s="74" t="s">
        <v>131</v>
      </c>
      <c r="J7" s="36" t="s">
        <v>118</v>
      </c>
      <c r="K7" s="70">
        <v>1</v>
      </c>
      <c r="L7" s="47" t="s">
        <v>12</v>
      </c>
      <c r="M7" s="12">
        <v>2.68</v>
      </c>
      <c r="N7" s="38">
        <v>5.9819026870007299</v>
      </c>
      <c r="O7" s="39">
        <v>1.52</v>
      </c>
      <c r="P7" s="38">
        <v>0</v>
      </c>
      <c r="Q7" s="55">
        <f t="shared" si="1"/>
        <v>10.050000000000001</v>
      </c>
      <c r="R7" s="57">
        <f t="shared" si="2"/>
        <v>-15.330000000000002</v>
      </c>
      <c r="S7" s="113"/>
    </row>
    <row r="8" spans="2:19" customFormat="1" outlineLevel="1" x14ac:dyDescent="0.2">
      <c r="B8" s="48">
        <f t="shared" si="0"/>
        <v>5</v>
      </c>
      <c r="C8" s="36" t="s">
        <v>106</v>
      </c>
      <c r="D8" s="86">
        <v>44046</v>
      </c>
      <c r="E8" s="36" t="s">
        <v>60</v>
      </c>
      <c r="F8" s="36" t="s">
        <v>37</v>
      </c>
      <c r="G8" s="70" t="s">
        <v>70</v>
      </c>
      <c r="H8" s="70">
        <v>1100</v>
      </c>
      <c r="I8" s="74" t="s">
        <v>130</v>
      </c>
      <c r="J8" s="36" t="s">
        <v>118</v>
      </c>
      <c r="K8" s="70">
        <v>3</v>
      </c>
      <c r="L8" s="47" t="s">
        <v>86</v>
      </c>
      <c r="M8" s="12">
        <v>9.09</v>
      </c>
      <c r="N8" s="38">
        <v>1.2352840909090901</v>
      </c>
      <c r="O8" s="39">
        <v>1.72</v>
      </c>
      <c r="P8" s="38">
        <v>0</v>
      </c>
      <c r="Q8" s="55">
        <f t="shared" si="1"/>
        <v>-1.24</v>
      </c>
      <c r="R8" s="57">
        <f>Q8+R7</f>
        <v>-16.57</v>
      </c>
      <c r="S8" s="113"/>
    </row>
    <row r="9" spans="2:19" customFormat="1" outlineLevel="1" x14ac:dyDescent="0.2">
      <c r="B9" s="48">
        <f t="shared" si="0"/>
        <v>6</v>
      </c>
      <c r="C9" s="36" t="s">
        <v>114</v>
      </c>
      <c r="D9" s="86">
        <v>44046</v>
      </c>
      <c r="E9" s="36" t="s">
        <v>60</v>
      </c>
      <c r="F9" s="36" t="s">
        <v>37</v>
      </c>
      <c r="G9" s="70" t="s">
        <v>70</v>
      </c>
      <c r="H9" s="70">
        <v>1100</v>
      </c>
      <c r="I9" s="74" t="s">
        <v>130</v>
      </c>
      <c r="J9" s="36" t="s">
        <v>118</v>
      </c>
      <c r="K9" s="70">
        <v>4</v>
      </c>
      <c r="L9" s="47" t="s">
        <v>12</v>
      </c>
      <c r="M9" s="12">
        <v>1.41</v>
      </c>
      <c r="N9" s="38">
        <v>24.415628177196801</v>
      </c>
      <c r="O9" s="39">
        <v>1.08</v>
      </c>
      <c r="P9" s="38">
        <v>0</v>
      </c>
      <c r="Q9" s="55">
        <f t="shared" si="1"/>
        <v>10.01</v>
      </c>
      <c r="R9" s="57">
        <f t="shared" si="2"/>
        <v>-6.5600000000000005</v>
      </c>
      <c r="S9" s="113"/>
    </row>
    <row r="10" spans="2:19" customFormat="1" outlineLevel="1" x14ac:dyDescent="0.2">
      <c r="B10" s="48">
        <f t="shared" si="0"/>
        <v>7</v>
      </c>
      <c r="C10" s="36" t="s">
        <v>121</v>
      </c>
      <c r="D10" s="86">
        <v>44047</v>
      </c>
      <c r="E10" s="36" t="s">
        <v>49</v>
      </c>
      <c r="F10" s="36" t="s">
        <v>28</v>
      </c>
      <c r="G10" s="70" t="s">
        <v>70</v>
      </c>
      <c r="H10" s="70">
        <v>1100</v>
      </c>
      <c r="I10" s="74" t="s">
        <v>128</v>
      </c>
      <c r="J10" s="36" t="s">
        <v>118</v>
      </c>
      <c r="K10" s="70">
        <v>9</v>
      </c>
      <c r="L10" s="47" t="s">
        <v>12</v>
      </c>
      <c r="M10" s="12">
        <v>3.8</v>
      </c>
      <c r="N10" s="38">
        <v>3.5723809523809531</v>
      </c>
      <c r="O10" s="39">
        <v>1.7</v>
      </c>
      <c r="P10" s="38">
        <v>0</v>
      </c>
      <c r="Q10" s="55">
        <f t="shared" si="1"/>
        <v>10</v>
      </c>
      <c r="R10" s="57">
        <f t="shared" ref="R10" si="3">Q10+R9</f>
        <v>3.4399999999999995</v>
      </c>
      <c r="S10" s="113"/>
    </row>
    <row r="11" spans="2:19" customFormat="1" outlineLevel="1" x14ac:dyDescent="0.2">
      <c r="B11" s="48">
        <f t="shared" si="0"/>
        <v>8</v>
      </c>
      <c r="C11" s="36" t="s">
        <v>126</v>
      </c>
      <c r="D11" s="86">
        <v>44048</v>
      </c>
      <c r="E11" s="36" t="s">
        <v>18</v>
      </c>
      <c r="F11" s="36" t="s">
        <v>39</v>
      </c>
      <c r="G11" s="70" t="s">
        <v>70</v>
      </c>
      <c r="H11" s="70">
        <v>1200</v>
      </c>
      <c r="I11" s="74" t="s">
        <v>130</v>
      </c>
      <c r="J11" s="36" t="s">
        <v>118</v>
      </c>
      <c r="K11" s="70">
        <v>1</v>
      </c>
      <c r="L11" s="47" t="s">
        <v>76</v>
      </c>
      <c r="M11" s="12">
        <v>9</v>
      </c>
      <c r="N11" s="38">
        <v>1.2474999999999998</v>
      </c>
      <c r="O11" s="39">
        <v>2.72</v>
      </c>
      <c r="P11" s="38">
        <v>0.70857142857142863</v>
      </c>
      <c r="Q11" s="55">
        <f t="shared" si="1"/>
        <v>-1.96</v>
      </c>
      <c r="R11" s="57">
        <f t="shared" ref="R11" si="4">Q11+R10</f>
        <v>1.4799999999999995</v>
      </c>
      <c r="S11" s="113"/>
    </row>
    <row r="12" spans="2:19" customFormat="1" outlineLevel="1" x14ac:dyDescent="0.2">
      <c r="B12" s="48">
        <f t="shared" si="0"/>
        <v>9</v>
      </c>
      <c r="C12" s="36" t="s">
        <v>129</v>
      </c>
      <c r="D12" s="86">
        <v>44049</v>
      </c>
      <c r="E12" s="36" t="s">
        <v>46</v>
      </c>
      <c r="F12" s="36" t="s">
        <v>28</v>
      </c>
      <c r="G12" s="70" t="s">
        <v>70</v>
      </c>
      <c r="H12" s="70">
        <v>1100</v>
      </c>
      <c r="I12" s="74" t="s">
        <v>132</v>
      </c>
      <c r="J12" s="36" t="s">
        <v>118</v>
      </c>
      <c r="K12" s="70">
        <v>8</v>
      </c>
      <c r="L12" s="47" t="s">
        <v>12</v>
      </c>
      <c r="M12" s="12">
        <v>1.6</v>
      </c>
      <c r="N12" s="38">
        <v>16.749473684210525</v>
      </c>
      <c r="O12" s="39">
        <v>1.21</v>
      </c>
      <c r="P12" s="38">
        <v>0</v>
      </c>
      <c r="Q12" s="55">
        <f t="shared" si="1"/>
        <v>10.050000000000001</v>
      </c>
      <c r="R12" s="57">
        <f t="shared" ref="R12" si="5">Q12+R11</f>
        <v>11.530000000000001</v>
      </c>
      <c r="S12" s="113"/>
    </row>
    <row r="13" spans="2:19" outlineLevel="1" x14ac:dyDescent="0.2">
      <c r="B13" s="48">
        <f t="shared" si="0"/>
        <v>10</v>
      </c>
      <c r="C13" s="36" t="s">
        <v>133</v>
      </c>
      <c r="D13" s="86">
        <v>44050</v>
      </c>
      <c r="E13" s="36" t="s">
        <v>35</v>
      </c>
      <c r="F13" s="36" t="s">
        <v>45</v>
      </c>
      <c r="G13" s="70" t="s">
        <v>75</v>
      </c>
      <c r="H13" s="70">
        <v>1100</v>
      </c>
      <c r="I13" s="74" t="s">
        <v>128</v>
      </c>
      <c r="J13" s="36" t="s">
        <v>118</v>
      </c>
      <c r="K13" s="70">
        <v>4</v>
      </c>
      <c r="L13" s="47" t="s">
        <v>15</v>
      </c>
      <c r="M13" s="12">
        <v>5.7</v>
      </c>
      <c r="N13" s="38">
        <v>2.1364473684210523</v>
      </c>
      <c r="O13" s="39">
        <v>2.72</v>
      </c>
      <c r="P13" s="38">
        <v>1.2228571428571429</v>
      </c>
      <c r="Q13" s="55">
        <f t="shared" si="1"/>
        <v>-0.03</v>
      </c>
      <c r="R13" s="57">
        <f t="shared" ref="R13" si="6">Q13+R12</f>
        <v>11.500000000000002</v>
      </c>
      <c r="S13" s="113"/>
    </row>
    <row r="14" spans="2:19" outlineLevel="1" x14ac:dyDescent="0.2">
      <c r="B14" s="48">
        <f t="shared" si="0"/>
        <v>11</v>
      </c>
      <c r="C14" s="36" t="s">
        <v>119</v>
      </c>
      <c r="D14" s="86">
        <v>44051</v>
      </c>
      <c r="E14" s="36" t="s">
        <v>17</v>
      </c>
      <c r="F14" s="36" t="s">
        <v>39</v>
      </c>
      <c r="G14" s="70" t="s">
        <v>70</v>
      </c>
      <c r="H14" s="70">
        <v>1000</v>
      </c>
      <c r="I14" s="74" t="s">
        <v>130</v>
      </c>
      <c r="J14" s="36" t="s">
        <v>118</v>
      </c>
      <c r="K14" s="70">
        <v>9</v>
      </c>
      <c r="L14" s="47" t="s">
        <v>11</v>
      </c>
      <c r="M14" s="12">
        <v>1.98</v>
      </c>
      <c r="N14" s="38">
        <v>10.182325581395348</v>
      </c>
      <c r="O14" s="39">
        <v>1.29</v>
      </c>
      <c r="P14" s="38">
        <v>0</v>
      </c>
      <c r="Q14" s="55">
        <f t="shared" si="1"/>
        <v>-10.18</v>
      </c>
      <c r="R14" s="57">
        <f t="shared" ref="R14" si="7">Q14+R13</f>
        <v>1.3200000000000021</v>
      </c>
      <c r="S14" s="113"/>
    </row>
    <row r="15" spans="2:19" outlineLevel="1" x14ac:dyDescent="0.2">
      <c r="B15" s="48">
        <f t="shared" si="0"/>
        <v>12</v>
      </c>
      <c r="C15" s="36" t="s">
        <v>136</v>
      </c>
      <c r="D15" s="86">
        <v>44051</v>
      </c>
      <c r="E15" s="36" t="s">
        <v>17</v>
      </c>
      <c r="F15" s="36" t="s">
        <v>13</v>
      </c>
      <c r="G15" s="70" t="s">
        <v>70</v>
      </c>
      <c r="H15" s="70">
        <v>1000</v>
      </c>
      <c r="I15" s="74" t="s">
        <v>130</v>
      </c>
      <c r="J15" s="36" t="s">
        <v>118</v>
      </c>
      <c r="K15" s="70">
        <v>5</v>
      </c>
      <c r="L15" s="47" t="s">
        <v>12</v>
      </c>
      <c r="M15" s="12">
        <v>2.5099999999999998</v>
      </c>
      <c r="N15" s="38">
        <v>6.6400000000000006</v>
      </c>
      <c r="O15" s="39">
        <v>1.38</v>
      </c>
      <c r="P15" s="38">
        <v>0</v>
      </c>
      <c r="Q15" s="55">
        <f t="shared" si="1"/>
        <v>10.029999999999999</v>
      </c>
      <c r="R15" s="57">
        <f t="shared" ref="R15" si="8">Q15+R14</f>
        <v>11.350000000000001</v>
      </c>
      <c r="S15" s="113"/>
    </row>
    <row r="16" spans="2:19" outlineLevel="1" x14ac:dyDescent="0.2">
      <c r="B16" s="48">
        <f t="shared" si="0"/>
        <v>13</v>
      </c>
      <c r="C16" s="36" t="s">
        <v>138</v>
      </c>
      <c r="D16" s="86">
        <v>44052</v>
      </c>
      <c r="E16" s="36" t="s">
        <v>44</v>
      </c>
      <c r="F16" s="36" t="s">
        <v>39</v>
      </c>
      <c r="G16" s="70" t="s">
        <v>70</v>
      </c>
      <c r="H16" s="70">
        <v>1000</v>
      </c>
      <c r="I16" s="74" t="s">
        <v>132</v>
      </c>
      <c r="J16" s="36" t="s">
        <v>118</v>
      </c>
      <c r="K16" s="70">
        <v>6</v>
      </c>
      <c r="L16" s="47" t="s">
        <v>69</v>
      </c>
      <c r="M16" s="12">
        <v>5.78</v>
      </c>
      <c r="N16" s="38">
        <v>2.0936842105263156</v>
      </c>
      <c r="O16" s="39">
        <v>2.14</v>
      </c>
      <c r="P16" s="38">
        <v>1.8622222222222222</v>
      </c>
      <c r="Q16" s="55">
        <f t="shared" si="1"/>
        <v>-3.96</v>
      </c>
      <c r="R16" s="57">
        <f t="shared" ref="R16" si="9">Q16+R15</f>
        <v>7.3900000000000015</v>
      </c>
      <c r="S16" s="113"/>
    </row>
    <row r="17" spans="2:19" outlineLevel="1" x14ac:dyDescent="0.2">
      <c r="B17" s="48">
        <f t="shared" si="0"/>
        <v>14</v>
      </c>
      <c r="C17" s="36" t="s">
        <v>85</v>
      </c>
      <c r="D17" s="86">
        <v>44052</v>
      </c>
      <c r="E17" s="36" t="s">
        <v>44</v>
      </c>
      <c r="F17" s="36" t="s">
        <v>13</v>
      </c>
      <c r="G17" s="70" t="s">
        <v>70</v>
      </c>
      <c r="H17" s="70">
        <v>1000</v>
      </c>
      <c r="I17" s="74" t="s">
        <v>132</v>
      </c>
      <c r="J17" s="36" t="s">
        <v>118</v>
      </c>
      <c r="K17" s="70">
        <v>6</v>
      </c>
      <c r="L17" s="47" t="s">
        <v>15</v>
      </c>
      <c r="M17" s="12">
        <v>1.55</v>
      </c>
      <c r="N17" s="38">
        <v>18.13040293040293</v>
      </c>
      <c r="O17" s="39">
        <v>1.17</v>
      </c>
      <c r="P17" s="38">
        <v>0</v>
      </c>
      <c r="Q17" s="55">
        <f t="shared" si="1"/>
        <v>-18.13</v>
      </c>
      <c r="R17" s="57">
        <f t="shared" ref="R17" si="10">Q17+R16</f>
        <v>-10.739999999999998</v>
      </c>
      <c r="S17" s="113"/>
    </row>
    <row r="18" spans="2:19" outlineLevel="1" x14ac:dyDescent="0.2">
      <c r="B18" s="48">
        <f t="shared" si="0"/>
        <v>15</v>
      </c>
      <c r="C18" s="36" t="s">
        <v>137</v>
      </c>
      <c r="D18" s="86">
        <v>44053</v>
      </c>
      <c r="E18" s="36" t="s">
        <v>35</v>
      </c>
      <c r="F18" s="36" t="s">
        <v>32</v>
      </c>
      <c r="G18" s="70" t="s">
        <v>73</v>
      </c>
      <c r="H18" s="70">
        <v>1200</v>
      </c>
      <c r="I18" s="74" t="s">
        <v>128</v>
      </c>
      <c r="J18" s="36" t="s">
        <v>118</v>
      </c>
      <c r="K18" s="70">
        <v>9</v>
      </c>
      <c r="L18" s="47" t="s">
        <v>61</v>
      </c>
      <c r="M18" s="12">
        <v>13</v>
      </c>
      <c r="N18" s="38">
        <v>0.83499999999999996</v>
      </c>
      <c r="O18" s="39">
        <v>3.55</v>
      </c>
      <c r="P18" s="38">
        <v>0.31999999999999973</v>
      </c>
      <c r="Q18" s="55">
        <f t="shared" si="1"/>
        <v>-1.1599999999999999</v>
      </c>
      <c r="R18" s="57">
        <f t="shared" ref="R18" si="11">Q18+R17</f>
        <v>-11.899999999999999</v>
      </c>
      <c r="S18" s="113"/>
    </row>
    <row r="19" spans="2:19" outlineLevel="1" x14ac:dyDescent="0.2">
      <c r="B19" s="48">
        <f t="shared" si="0"/>
        <v>16</v>
      </c>
      <c r="C19" s="36" t="s">
        <v>115</v>
      </c>
      <c r="D19" s="86">
        <v>44056</v>
      </c>
      <c r="E19" s="36" t="s">
        <v>29</v>
      </c>
      <c r="F19" s="36" t="s">
        <v>28</v>
      </c>
      <c r="G19" s="70" t="s">
        <v>70</v>
      </c>
      <c r="H19" s="70">
        <v>1100</v>
      </c>
      <c r="I19" s="74" t="s">
        <v>132</v>
      </c>
      <c r="J19" s="36" t="s">
        <v>118</v>
      </c>
      <c r="K19" s="70">
        <v>4</v>
      </c>
      <c r="L19" s="47" t="s">
        <v>15</v>
      </c>
      <c r="M19" s="12">
        <v>3.27</v>
      </c>
      <c r="N19" s="38">
        <v>4.3967567567567567</v>
      </c>
      <c r="O19" s="39">
        <v>1.53</v>
      </c>
      <c r="P19" s="38">
        <v>0</v>
      </c>
      <c r="Q19" s="55">
        <f t="shared" si="1"/>
        <v>-4.4000000000000004</v>
      </c>
      <c r="R19" s="57">
        <f t="shared" ref="R19" si="12">Q19+R18</f>
        <v>-16.299999999999997</v>
      </c>
      <c r="S19" s="113"/>
    </row>
    <row r="20" spans="2:19" outlineLevel="1" x14ac:dyDescent="0.2">
      <c r="B20" s="48">
        <f t="shared" si="0"/>
        <v>17</v>
      </c>
      <c r="C20" s="36" t="s">
        <v>139</v>
      </c>
      <c r="D20" s="86">
        <v>44056</v>
      </c>
      <c r="E20" s="36" t="s">
        <v>29</v>
      </c>
      <c r="F20" s="36" t="s">
        <v>39</v>
      </c>
      <c r="G20" s="70" t="s">
        <v>70</v>
      </c>
      <c r="H20" s="70">
        <v>1100</v>
      </c>
      <c r="I20" s="74" t="s">
        <v>132</v>
      </c>
      <c r="J20" s="36" t="s">
        <v>118</v>
      </c>
      <c r="K20" s="70">
        <v>5</v>
      </c>
      <c r="L20" s="47" t="s">
        <v>12</v>
      </c>
      <c r="M20" s="12">
        <v>1.92</v>
      </c>
      <c r="N20" s="38">
        <v>10.868458831808583</v>
      </c>
      <c r="O20" s="39">
        <v>1.34</v>
      </c>
      <c r="P20" s="38">
        <v>0</v>
      </c>
      <c r="Q20" s="55">
        <f t="shared" si="1"/>
        <v>10</v>
      </c>
      <c r="R20" s="57">
        <f t="shared" ref="R20" si="13">Q20+R19</f>
        <v>-6.2999999999999972</v>
      </c>
      <c r="S20" s="113"/>
    </row>
    <row r="21" spans="2:19" outlineLevel="1" x14ac:dyDescent="0.2">
      <c r="B21" s="48">
        <f t="shared" ref="B21:B171" si="14">B20+1</f>
        <v>18</v>
      </c>
      <c r="C21" s="36" t="s">
        <v>142</v>
      </c>
      <c r="D21" s="86">
        <v>44057</v>
      </c>
      <c r="E21" s="36" t="s">
        <v>57</v>
      </c>
      <c r="F21" s="36" t="s">
        <v>28</v>
      </c>
      <c r="G21" s="70" t="s">
        <v>70</v>
      </c>
      <c r="H21" s="70">
        <v>1150</v>
      </c>
      <c r="I21" s="74" t="s">
        <v>130</v>
      </c>
      <c r="J21" s="36" t="s">
        <v>118</v>
      </c>
      <c r="K21" s="70">
        <v>7</v>
      </c>
      <c r="L21" s="47" t="s">
        <v>15</v>
      </c>
      <c r="M21" s="12">
        <v>5.2</v>
      </c>
      <c r="N21" s="38">
        <v>2.3853092006033183</v>
      </c>
      <c r="O21" s="39">
        <v>1.88</v>
      </c>
      <c r="P21" s="38">
        <v>2.7085714285714286</v>
      </c>
      <c r="Q21" s="55">
        <f>ROUND(IF(OR($L21="1st",$L21="WON"),($M21*$N21)+($O21*$P21),IF(OR($L21="2nd",$L21="3rd"),IF($O21="NTD",0,($O21*$P21))))-($N21+$P21),2)</f>
        <v>0</v>
      </c>
      <c r="R21" s="57">
        <f>Q21+R20</f>
        <v>-6.2999999999999972</v>
      </c>
      <c r="S21" s="113"/>
    </row>
    <row r="22" spans="2:19" outlineLevel="1" x14ac:dyDescent="0.2">
      <c r="B22" s="48">
        <f t="shared" si="14"/>
        <v>19</v>
      </c>
      <c r="C22" s="36" t="s">
        <v>140</v>
      </c>
      <c r="D22" s="86">
        <v>44057</v>
      </c>
      <c r="E22" s="36" t="s">
        <v>57</v>
      </c>
      <c r="F22" s="36" t="s">
        <v>39</v>
      </c>
      <c r="G22" s="70" t="s">
        <v>70</v>
      </c>
      <c r="H22" s="70">
        <v>1250</v>
      </c>
      <c r="I22" s="74" t="s">
        <v>130</v>
      </c>
      <c r="J22" s="36" t="s">
        <v>118</v>
      </c>
      <c r="K22" s="70">
        <v>7</v>
      </c>
      <c r="L22" s="47" t="s">
        <v>76</v>
      </c>
      <c r="M22" s="12">
        <v>7</v>
      </c>
      <c r="N22" s="38">
        <v>1.6600000000000001</v>
      </c>
      <c r="O22" s="39">
        <v>2.2000000000000002</v>
      </c>
      <c r="P22" s="38">
        <v>1.35</v>
      </c>
      <c r="Q22" s="55">
        <f t="shared" si="1"/>
        <v>-3.01</v>
      </c>
      <c r="R22" s="57">
        <f>Q22+R21</f>
        <v>-9.3099999999999969</v>
      </c>
      <c r="S22" s="113"/>
    </row>
    <row r="23" spans="2:19" outlineLevel="1" x14ac:dyDescent="0.2">
      <c r="B23" s="48">
        <f t="shared" si="14"/>
        <v>20</v>
      </c>
      <c r="C23" s="36" t="s">
        <v>141</v>
      </c>
      <c r="D23" s="86">
        <v>44057</v>
      </c>
      <c r="E23" s="36" t="s">
        <v>57</v>
      </c>
      <c r="F23" s="36" t="s">
        <v>13</v>
      </c>
      <c r="G23" s="70" t="s">
        <v>70</v>
      </c>
      <c r="H23" s="70">
        <v>1250</v>
      </c>
      <c r="I23" s="74" t="s">
        <v>130</v>
      </c>
      <c r="J23" s="36" t="s">
        <v>118</v>
      </c>
      <c r="K23" s="70">
        <v>11</v>
      </c>
      <c r="L23" s="47" t="s">
        <v>12</v>
      </c>
      <c r="M23" s="12">
        <v>2.13</v>
      </c>
      <c r="N23" s="38">
        <v>8.879999999999999</v>
      </c>
      <c r="O23" s="39">
        <v>1.3</v>
      </c>
      <c r="P23" s="38">
        <v>0</v>
      </c>
      <c r="Q23" s="55">
        <f t="shared" si="1"/>
        <v>10.029999999999999</v>
      </c>
      <c r="R23" s="57">
        <f t="shared" ref="R23:R26" si="15">Q23+R22</f>
        <v>0.72000000000000242</v>
      </c>
      <c r="S23" s="113"/>
    </row>
    <row r="24" spans="2:19" outlineLevel="1" x14ac:dyDescent="0.2">
      <c r="B24" s="48">
        <f t="shared" si="14"/>
        <v>21</v>
      </c>
      <c r="C24" s="36" t="s">
        <v>143</v>
      </c>
      <c r="D24" s="86">
        <v>44058</v>
      </c>
      <c r="E24" s="36" t="s">
        <v>82</v>
      </c>
      <c r="F24" s="36" t="s">
        <v>13</v>
      </c>
      <c r="G24" s="70" t="s">
        <v>70</v>
      </c>
      <c r="H24" s="70">
        <v>1100</v>
      </c>
      <c r="I24" s="74" t="s">
        <v>132</v>
      </c>
      <c r="J24" s="36" t="s">
        <v>118</v>
      </c>
      <c r="K24" s="70">
        <v>5</v>
      </c>
      <c r="L24" s="47" t="s">
        <v>12</v>
      </c>
      <c r="M24" s="12">
        <v>1.24</v>
      </c>
      <c r="N24" s="38">
        <v>41.722932551319644</v>
      </c>
      <c r="O24" s="39">
        <v>1.08</v>
      </c>
      <c r="P24" s="38">
        <v>0</v>
      </c>
      <c r="Q24" s="55">
        <f t="shared" si="1"/>
        <v>10.01</v>
      </c>
      <c r="R24" s="57">
        <f t="shared" si="15"/>
        <v>10.730000000000002</v>
      </c>
      <c r="S24" s="113"/>
    </row>
    <row r="25" spans="2:19" outlineLevel="1" x14ac:dyDescent="0.2">
      <c r="B25" s="48">
        <f t="shared" si="14"/>
        <v>22</v>
      </c>
      <c r="C25" s="36" t="s">
        <v>144</v>
      </c>
      <c r="D25" s="86">
        <v>44059</v>
      </c>
      <c r="E25" s="36" t="s">
        <v>18</v>
      </c>
      <c r="F25" s="36" t="s">
        <v>39</v>
      </c>
      <c r="G25" s="70" t="s">
        <v>70</v>
      </c>
      <c r="H25" s="70">
        <v>1000</v>
      </c>
      <c r="I25" s="74" t="s">
        <v>132</v>
      </c>
      <c r="J25" s="36" t="s">
        <v>118</v>
      </c>
      <c r="K25" s="70">
        <v>1</v>
      </c>
      <c r="L25" s="47" t="s">
        <v>12</v>
      </c>
      <c r="M25" s="12">
        <v>1.79</v>
      </c>
      <c r="N25" s="38">
        <v>12.72</v>
      </c>
      <c r="O25" s="39">
        <v>1.1200000000000001</v>
      </c>
      <c r="P25" s="38">
        <v>0</v>
      </c>
      <c r="Q25" s="55">
        <f t="shared" si="1"/>
        <v>10.050000000000001</v>
      </c>
      <c r="R25" s="57">
        <f t="shared" si="15"/>
        <v>20.78</v>
      </c>
      <c r="S25" s="113"/>
    </row>
    <row r="26" spans="2:19" outlineLevel="1" x14ac:dyDescent="0.2">
      <c r="B26" s="48">
        <f t="shared" si="14"/>
        <v>23</v>
      </c>
      <c r="C26" s="36" t="s">
        <v>145</v>
      </c>
      <c r="D26" s="86">
        <v>44063</v>
      </c>
      <c r="E26" s="36" t="s">
        <v>46</v>
      </c>
      <c r="F26" s="36" t="s">
        <v>39</v>
      </c>
      <c r="G26" s="70" t="s">
        <v>70</v>
      </c>
      <c r="H26" s="70">
        <v>1000</v>
      </c>
      <c r="I26" s="74" t="s">
        <v>132</v>
      </c>
      <c r="J26" s="36" t="s">
        <v>118</v>
      </c>
      <c r="K26" s="70">
        <v>7</v>
      </c>
      <c r="L26" s="47" t="s">
        <v>11</v>
      </c>
      <c r="M26" s="12">
        <v>2.78</v>
      </c>
      <c r="N26" s="38">
        <v>5.5997701149425287</v>
      </c>
      <c r="O26" s="39">
        <v>1.46</v>
      </c>
      <c r="P26" s="38">
        <v>0</v>
      </c>
      <c r="Q26" s="55">
        <f t="shared" si="1"/>
        <v>-5.6</v>
      </c>
      <c r="R26" s="57">
        <f t="shared" si="15"/>
        <v>15.180000000000001</v>
      </c>
      <c r="S26" s="113"/>
    </row>
    <row r="27" spans="2:19" outlineLevel="1" x14ac:dyDescent="0.2">
      <c r="B27" s="48">
        <f t="shared" si="14"/>
        <v>24</v>
      </c>
      <c r="C27" s="36" t="s">
        <v>146</v>
      </c>
      <c r="D27" s="86">
        <v>44063</v>
      </c>
      <c r="E27" s="36" t="s">
        <v>46</v>
      </c>
      <c r="F27" s="36" t="s">
        <v>13</v>
      </c>
      <c r="G27" s="70" t="s">
        <v>70</v>
      </c>
      <c r="H27" s="70">
        <v>1200</v>
      </c>
      <c r="I27" s="74" t="s">
        <v>132</v>
      </c>
      <c r="J27" s="36" t="s">
        <v>118</v>
      </c>
      <c r="K27" s="70">
        <v>1</v>
      </c>
      <c r="L27" s="47" t="s">
        <v>12</v>
      </c>
      <c r="M27" s="12">
        <v>2.08</v>
      </c>
      <c r="N27" s="38">
        <v>9.2594608260325693</v>
      </c>
      <c r="O27" s="39">
        <v>1.27</v>
      </c>
      <c r="P27" s="38">
        <v>0</v>
      </c>
      <c r="Q27" s="55">
        <f t="shared" si="1"/>
        <v>10</v>
      </c>
      <c r="R27" s="57">
        <f t="shared" ref="R27" si="16">Q27+R26</f>
        <v>25.18</v>
      </c>
      <c r="S27" s="113"/>
    </row>
    <row r="28" spans="2:19" outlineLevel="1" x14ac:dyDescent="0.2">
      <c r="B28" s="48">
        <f t="shared" si="14"/>
        <v>25</v>
      </c>
      <c r="C28" s="36" t="s">
        <v>116</v>
      </c>
      <c r="D28" s="86">
        <v>44064</v>
      </c>
      <c r="E28" s="36" t="s">
        <v>44</v>
      </c>
      <c r="F28" s="36" t="s">
        <v>39</v>
      </c>
      <c r="G28" s="70" t="s">
        <v>70</v>
      </c>
      <c r="H28" s="70">
        <v>1100</v>
      </c>
      <c r="I28" s="74" t="s">
        <v>132</v>
      </c>
      <c r="J28" s="36" t="s">
        <v>118</v>
      </c>
      <c r="K28" s="70">
        <v>4</v>
      </c>
      <c r="L28" s="47" t="s">
        <v>11</v>
      </c>
      <c r="M28" s="12">
        <v>3</v>
      </c>
      <c r="N28" s="38">
        <v>4.9899999999999993</v>
      </c>
      <c r="O28" s="39">
        <v>1.57</v>
      </c>
      <c r="P28" s="38">
        <v>0</v>
      </c>
      <c r="Q28" s="55">
        <f t="shared" si="1"/>
        <v>-4.99</v>
      </c>
      <c r="R28" s="57">
        <f t="shared" ref="R28" si="17">Q28+R27</f>
        <v>20.189999999999998</v>
      </c>
      <c r="S28" s="113"/>
    </row>
    <row r="29" spans="2:19" outlineLevel="1" x14ac:dyDescent="0.2">
      <c r="B29" s="48">
        <f t="shared" si="14"/>
        <v>26</v>
      </c>
      <c r="C29" s="36" t="s">
        <v>148</v>
      </c>
      <c r="D29" s="86">
        <v>44067</v>
      </c>
      <c r="E29" s="36" t="s">
        <v>36</v>
      </c>
      <c r="F29" s="36" t="s">
        <v>39</v>
      </c>
      <c r="G29" s="70" t="s">
        <v>70</v>
      </c>
      <c r="H29" s="70">
        <v>1300</v>
      </c>
      <c r="I29" s="74" t="s">
        <v>130</v>
      </c>
      <c r="J29" s="36" t="s">
        <v>118</v>
      </c>
      <c r="K29" s="70">
        <v>11</v>
      </c>
      <c r="L29" s="47" t="s">
        <v>149</v>
      </c>
      <c r="M29" s="12">
        <v>10.29</v>
      </c>
      <c r="N29" s="38">
        <v>1.0775675675675676</v>
      </c>
      <c r="O29" s="39">
        <v>3.32</v>
      </c>
      <c r="P29" s="38">
        <v>0.47714285714285676</v>
      </c>
      <c r="Q29" s="55">
        <f t="shared" si="1"/>
        <v>-1.55</v>
      </c>
      <c r="R29" s="57">
        <f t="shared" ref="R29" si="18">Q29+R28</f>
        <v>18.639999999999997</v>
      </c>
      <c r="S29" s="113"/>
    </row>
    <row r="30" spans="2:19" outlineLevel="1" x14ac:dyDescent="0.2">
      <c r="B30" s="48">
        <f t="shared" si="14"/>
        <v>27</v>
      </c>
      <c r="C30" s="36" t="s">
        <v>150</v>
      </c>
      <c r="D30" s="86">
        <v>44070</v>
      </c>
      <c r="E30" s="36" t="s">
        <v>43</v>
      </c>
      <c r="F30" s="36" t="s">
        <v>37</v>
      </c>
      <c r="G30" s="70" t="s">
        <v>70</v>
      </c>
      <c r="H30" s="70">
        <v>1000</v>
      </c>
      <c r="I30" s="74" t="s">
        <v>132</v>
      </c>
      <c r="J30" s="36" t="s">
        <v>118</v>
      </c>
      <c r="K30" s="70">
        <v>5</v>
      </c>
      <c r="L30" s="47" t="s">
        <v>15</v>
      </c>
      <c r="M30" s="12">
        <v>1.99</v>
      </c>
      <c r="N30" s="38">
        <v>10.121003584229392</v>
      </c>
      <c r="O30" s="39">
        <v>1.21</v>
      </c>
      <c r="P30" s="38">
        <v>0</v>
      </c>
      <c r="Q30" s="55">
        <f t="shared" si="1"/>
        <v>-10.119999999999999</v>
      </c>
      <c r="R30" s="57">
        <f t="shared" ref="R30" si="19">Q30+R29</f>
        <v>8.5199999999999978</v>
      </c>
      <c r="S30" s="113"/>
    </row>
    <row r="31" spans="2:19" outlineLevel="1" x14ac:dyDescent="0.2">
      <c r="B31" s="48">
        <f t="shared" si="14"/>
        <v>28</v>
      </c>
      <c r="C31" s="36" t="s">
        <v>151</v>
      </c>
      <c r="D31" s="86">
        <v>44070</v>
      </c>
      <c r="E31" s="36" t="s">
        <v>43</v>
      </c>
      <c r="F31" s="36" t="s">
        <v>45</v>
      </c>
      <c r="G31" s="70" t="s">
        <v>72</v>
      </c>
      <c r="H31" s="70">
        <v>1000</v>
      </c>
      <c r="I31" s="74" t="s">
        <v>132</v>
      </c>
      <c r="J31" s="36" t="s">
        <v>118</v>
      </c>
      <c r="K31" s="70">
        <v>8</v>
      </c>
      <c r="L31" s="47" t="s">
        <v>12</v>
      </c>
      <c r="M31" s="12">
        <v>2.1</v>
      </c>
      <c r="N31" s="38">
        <v>9.065201465201465</v>
      </c>
      <c r="O31" s="39">
        <v>1.21</v>
      </c>
      <c r="P31" s="38">
        <v>0</v>
      </c>
      <c r="Q31" s="55">
        <f t="shared" si="1"/>
        <v>9.9700000000000006</v>
      </c>
      <c r="R31" s="57">
        <f t="shared" ref="R31" si="20">Q31+R30</f>
        <v>18.489999999999998</v>
      </c>
      <c r="S31" s="113"/>
    </row>
    <row r="32" spans="2:19" outlineLevel="1" x14ac:dyDescent="0.2">
      <c r="B32" s="48">
        <f t="shared" si="14"/>
        <v>29</v>
      </c>
      <c r="C32" s="36" t="s">
        <v>152</v>
      </c>
      <c r="D32" s="86">
        <v>44070</v>
      </c>
      <c r="E32" s="36" t="s">
        <v>43</v>
      </c>
      <c r="F32" s="36" t="s">
        <v>16</v>
      </c>
      <c r="G32" s="70" t="s">
        <v>147</v>
      </c>
      <c r="H32" s="70">
        <v>1200</v>
      </c>
      <c r="I32" s="74" t="s">
        <v>132</v>
      </c>
      <c r="J32" s="36" t="s">
        <v>118</v>
      </c>
      <c r="K32" s="70">
        <v>3</v>
      </c>
      <c r="L32" s="47" t="s">
        <v>111</v>
      </c>
      <c r="M32" s="12">
        <v>5.0999999999999996</v>
      </c>
      <c r="N32" s="38">
        <v>2.4381818181818184</v>
      </c>
      <c r="O32" s="39">
        <v>1.81</v>
      </c>
      <c r="P32" s="38">
        <v>2.9907692307692306</v>
      </c>
      <c r="Q32" s="55">
        <f t="shared" si="1"/>
        <v>-5.43</v>
      </c>
      <c r="R32" s="57">
        <f t="shared" ref="R32" si="21">Q32+R31</f>
        <v>13.059999999999999</v>
      </c>
      <c r="S32" s="113"/>
    </row>
    <row r="33" spans="2:19" outlineLevel="1" x14ac:dyDescent="0.2">
      <c r="B33" s="48">
        <f t="shared" si="14"/>
        <v>30</v>
      </c>
      <c r="C33" s="36" t="s">
        <v>153</v>
      </c>
      <c r="D33" s="86">
        <v>44073</v>
      </c>
      <c r="E33" s="36" t="s">
        <v>29</v>
      </c>
      <c r="F33" s="36" t="s">
        <v>13</v>
      </c>
      <c r="G33" s="70" t="s">
        <v>70</v>
      </c>
      <c r="H33" s="70">
        <v>1200</v>
      </c>
      <c r="I33" s="74" t="s">
        <v>131</v>
      </c>
      <c r="J33" s="36" t="s">
        <v>118</v>
      </c>
      <c r="K33" s="70">
        <v>2</v>
      </c>
      <c r="L33" s="47" t="s">
        <v>68</v>
      </c>
      <c r="M33" s="12">
        <v>18</v>
      </c>
      <c r="N33" s="38">
        <v>0.5864705882352943</v>
      </c>
      <c r="O33" s="39">
        <v>4.8</v>
      </c>
      <c r="P33" s="38">
        <v>0.16000000000000003</v>
      </c>
      <c r="Q33" s="55">
        <f t="shared" si="1"/>
        <v>-0.75</v>
      </c>
      <c r="R33" s="57">
        <f t="shared" ref="R33" si="22">Q33+R32</f>
        <v>12.309999999999999</v>
      </c>
      <c r="S33" s="113"/>
    </row>
    <row r="34" spans="2:19" outlineLevel="1" x14ac:dyDescent="0.2">
      <c r="B34" s="48">
        <f t="shared" si="14"/>
        <v>31</v>
      </c>
      <c r="C34" s="36" t="s">
        <v>154</v>
      </c>
      <c r="D34" s="86">
        <v>44073</v>
      </c>
      <c r="E34" s="36" t="s">
        <v>29</v>
      </c>
      <c r="F34" s="36" t="s">
        <v>13</v>
      </c>
      <c r="G34" s="70" t="s">
        <v>70</v>
      </c>
      <c r="H34" s="70">
        <v>1200</v>
      </c>
      <c r="I34" s="74" t="s">
        <v>131</v>
      </c>
      <c r="J34" s="36" t="s">
        <v>118</v>
      </c>
      <c r="K34" s="70">
        <v>1</v>
      </c>
      <c r="L34" s="47" t="s">
        <v>11</v>
      </c>
      <c r="M34" s="12">
        <v>3.81</v>
      </c>
      <c r="N34" s="38">
        <v>3.5533333333333341</v>
      </c>
      <c r="O34" s="39">
        <v>1.71</v>
      </c>
      <c r="P34" s="38">
        <v>0</v>
      </c>
      <c r="Q34" s="55">
        <f t="shared" si="1"/>
        <v>-3.55</v>
      </c>
      <c r="R34" s="57">
        <f t="shared" ref="R34" si="23">Q34+R33</f>
        <v>8.759999999999998</v>
      </c>
      <c r="S34" s="113"/>
    </row>
    <row r="35" spans="2:19" outlineLevel="1" x14ac:dyDescent="0.2">
      <c r="B35" s="48">
        <f t="shared" si="14"/>
        <v>32</v>
      </c>
      <c r="C35" s="36" t="s">
        <v>155</v>
      </c>
      <c r="D35" s="86">
        <v>44073</v>
      </c>
      <c r="E35" s="36" t="s">
        <v>29</v>
      </c>
      <c r="F35" s="36" t="s">
        <v>45</v>
      </c>
      <c r="G35" s="70" t="s">
        <v>70</v>
      </c>
      <c r="H35" s="70">
        <v>1400</v>
      </c>
      <c r="I35" s="74" t="s">
        <v>131</v>
      </c>
      <c r="J35" s="36" t="s">
        <v>118</v>
      </c>
      <c r="K35" s="70">
        <v>11</v>
      </c>
      <c r="L35" s="47" t="s">
        <v>86</v>
      </c>
      <c r="M35" s="12">
        <v>6.96</v>
      </c>
      <c r="N35" s="38">
        <v>1.6766666666666667</v>
      </c>
      <c r="O35" s="39">
        <v>2.56</v>
      </c>
      <c r="P35" s="38">
        <v>1.0866666666666664</v>
      </c>
      <c r="Q35" s="55">
        <f t="shared" si="1"/>
        <v>-2.76</v>
      </c>
      <c r="R35" s="57">
        <f t="shared" ref="R35" si="24">Q35+R34</f>
        <v>5.9999999999999982</v>
      </c>
      <c r="S35" s="113"/>
    </row>
    <row r="36" spans="2:19" outlineLevel="1" x14ac:dyDescent="0.2">
      <c r="B36" s="68">
        <f t="shared" si="14"/>
        <v>33</v>
      </c>
      <c r="C36" s="11" t="s">
        <v>156</v>
      </c>
      <c r="D36" s="54">
        <v>44074</v>
      </c>
      <c r="E36" s="11" t="s">
        <v>49</v>
      </c>
      <c r="F36" s="11" t="s">
        <v>13</v>
      </c>
      <c r="G36" s="71" t="s">
        <v>70</v>
      </c>
      <c r="H36" s="71">
        <v>1000</v>
      </c>
      <c r="I36" s="80" t="s">
        <v>128</v>
      </c>
      <c r="J36" s="11" t="s">
        <v>118</v>
      </c>
      <c r="K36" s="71">
        <v>2</v>
      </c>
      <c r="L36" s="49" t="s">
        <v>76</v>
      </c>
      <c r="M36" s="50">
        <v>6.75</v>
      </c>
      <c r="N36" s="51">
        <v>1.7360869565217396</v>
      </c>
      <c r="O36" s="52">
        <v>2.1800000000000002</v>
      </c>
      <c r="P36" s="51">
        <v>1.5022222222222221</v>
      </c>
      <c r="Q36" s="56">
        <f t="shared" si="1"/>
        <v>-3.24</v>
      </c>
      <c r="R36" s="64">
        <f t="shared" ref="R36" si="25">Q36+R35</f>
        <v>2.759999999999998</v>
      </c>
      <c r="S36" s="113"/>
    </row>
    <row r="37" spans="2:19" outlineLevel="1" x14ac:dyDescent="0.2">
      <c r="B37" s="48">
        <f t="shared" si="14"/>
        <v>34</v>
      </c>
      <c r="C37" s="36" t="s">
        <v>157</v>
      </c>
      <c r="D37" s="86">
        <v>44075</v>
      </c>
      <c r="E37" s="36" t="s">
        <v>14</v>
      </c>
      <c r="F37" s="36" t="s">
        <v>13</v>
      </c>
      <c r="G37" s="70" t="s">
        <v>70</v>
      </c>
      <c r="H37" s="70">
        <v>1100</v>
      </c>
      <c r="I37" s="74" t="s">
        <v>131</v>
      </c>
      <c r="J37" s="36" t="s">
        <v>118</v>
      </c>
      <c r="K37" s="70">
        <v>2</v>
      </c>
      <c r="L37" s="47" t="s">
        <v>11</v>
      </c>
      <c r="M37" s="12">
        <v>5.44</v>
      </c>
      <c r="N37" s="38">
        <v>2.2434586466165398</v>
      </c>
      <c r="O37" s="39">
        <v>2.02</v>
      </c>
      <c r="P37" s="38">
        <v>2.1992156862745098</v>
      </c>
      <c r="Q37" s="55">
        <f>ROUND(IF(OR($L37="1st",$L37="WON"),($M37*$N37)+($O37*$P37),IF(OR($L37="2nd",$L37="3rd"),IF($O37="NTD",0,($O37*$P37))))-($N37+$P37),1)</f>
        <v>0</v>
      </c>
      <c r="R37" s="57">
        <f t="shared" ref="R37" si="26">Q37+R36</f>
        <v>2.759999999999998</v>
      </c>
      <c r="S37" s="113"/>
    </row>
    <row r="38" spans="2:19" outlineLevel="1" x14ac:dyDescent="0.2">
      <c r="B38" s="48">
        <f t="shared" si="14"/>
        <v>35</v>
      </c>
      <c r="C38" s="36" t="s">
        <v>158</v>
      </c>
      <c r="D38" s="86">
        <v>44075</v>
      </c>
      <c r="E38" s="36" t="s">
        <v>14</v>
      </c>
      <c r="F38" s="36" t="s">
        <v>13</v>
      </c>
      <c r="G38" s="70" t="s">
        <v>70</v>
      </c>
      <c r="H38" s="70">
        <v>1100</v>
      </c>
      <c r="I38" s="74" t="s">
        <v>131</v>
      </c>
      <c r="J38" s="36" t="s">
        <v>118</v>
      </c>
      <c r="K38" s="70">
        <v>12</v>
      </c>
      <c r="L38" s="47" t="s">
        <v>12</v>
      </c>
      <c r="M38" s="12">
        <v>8.3699999999999992</v>
      </c>
      <c r="N38" s="38">
        <v>1.35855735397607</v>
      </c>
      <c r="O38" s="39">
        <v>2.64</v>
      </c>
      <c r="P38" s="38">
        <v>0.82428571428571429</v>
      </c>
      <c r="Q38" s="55">
        <f t="shared" ref="Q38:Q103" si="27">ROUND(IF(OR($L38="1st",$L38="WON"),($M38*$N38)+($O38*$P38),IF(OR($L38="2nd",$L38="3rd"),IF($O38="NTD",0,($O38*$P38))))-($N38+$P38),1)</f>
        <v>11.4</v>
      </c>
      <c r="R38" s="57">
        <f t="shared" ref="R38" si="28">Q38+R37</f>
        <v>14.159999999999998</v>
      </c>
      <c r="S38" s="113"/>
    </row>
    <row r="39" spans="2:19" outlineLevel="1" x14ac:dyDescent="0.2">
      <c r="B39" s="48">
        <f t="shared" si="14"/>
        <v>36</v>
      </c>
      <c r="C39" s="36" t="s">
        <v>160</v>
      </c>
      <c r="D39" s="86">
        <v>44076</v>
      </c>
      <c r="E39" s="36" t="s">
        <v>44</v>
      </c>
      <c r="F39" s="36" t="s">
        <v>28</v>
      </c>
      <c r="G39" s="70" t="s">
        <v>70</v>
      </c>
      <c r="H39" s="70">
        <v>1300</v>
      </c>
      <c r="I39" s="74" t="s">
        <v>131</v>
      </c>
      <c r="J39" s="36" t="s">
        <v>118</v>
      </c>
      <c r="K39" s="70">
        <v>10</v>
      </c>
      <c r="L39" s="47" t="s">
        <v>69</v>
      </c>
      <c r="M39" s="12">
        <v>7.32</v>
      </c>
      <c r="N39" s="38">
        <v>1.59</v>
      </c>
      <c r="O39" s="39">
        <v>2.68</v>
      </c>
      <c r="P39" s="38">
        <v>0.93090909090909091</v>
      </c>
      <c r="Q39" s="55">
        <f t="shared" si="27"/>
        <v>-2.5</v>
      </c>
      <c r="R39" s="57">
        <f t="shared" ref="R39" si="29">Q39+R38</f>
        <v>11.659999999999998</v>
      </c>
      <c r="S39" s="113"/>
    </row>
    <row r="40" spans="2:19" outlineLevel="1" x14ac:dyDescent="0.2">
      <c r="B40" s="48">
        <f t="shared" si="14"/>
        <v>37</v>
      </c>
      <c r="C40" s="36" t="s">
        <v>161</v>
      </c>
      <c r="D40" s="86">
        <v>44076</v>
      </c>
      <c r="E40" s="36" t="s">
        <v>44</v>
      </c>
      <c r="F40" s="36" t="s">
        <v>28</v>
      </c>
      <c r="G40" s="70" t="s">
        <v>70</v>
      </c>
      <c r="H40" s="70">
        <v>1300</v>
      </c>
      <c r="I40" s="74" t="s">
        <v>131</v>
      </c>
      <c r="J40" s="36" t="s">
        <v>118</v>
      </c>
      <c r="K40" s="70">
        <v>4</v>
      </c>
      <c r="L40" s="47" t="s">
        <v>11</v>
      </c>
      <c r="M40" s="12">
        <v>6.91</v>
      </c>
      <c r="N40" s="38">
        <v>1.6972340425531915</v>
      </c>
      <c r="O40" s="39">
        <v>2.4700000000000002</v>
      </c>
      <c r="P40" s="38">
        <v>1.1733333333333333</v>
      </c>
      <c r="Q40" s="55">
        <f t="shared" si="27"/>
        <v>0</v>
      </c>
      <c r="R40" s="57">
        <f t="shared" ref="R40" si="30">Q40+R39</f>
        <v>11.659999999999998</v>
      </c>
      <c r="S40" s="113"/>
    </row>
    <row r="41" spans="2:19" outlineLevel="1" x14ac:dyDescent="0.2">
      <c r="B41" s="48">
        <f t="shared" si="14"/>
        <v>38</v>
      </c>
      <c r="C41" s="36" t="s">
        <v>162</v>
      </c>
      <c r="D41" s="86">
        <v>44076</v>
      </c>
      <c r="E41" s="36" t="s">
        <v>44</v>
      </c>
      <c r="F41" s="36" t="s">
        <v>16</v>
      </c>
      <c r="G41" s="70" t="s">
        <v>72</v>
      </c>
      <c r="H41" s="70">
        <v>1300</v>
      </c>
      <c r="I41" s="74" t="s">
        <v>131</v>
      </c>
      <c r="J41" s="36" t="s">
        <v>118</v>
      </c>
      <c r="K41" s="70">
        <v>11</v>
      </c>
      <c r="L41" s="47" t="s">
        <v>66</v>
      </c>
      <c r="M41" s="12">
        <v>3</v>
      </c>
      <c r="N41" s="38">
        <v>4.9899999999999993</v>
      </c>
      <c r="O41" s="39">
        <v>1.35</v>
      </c>
      <c r="P41" s="38">
        <v>0</v>
      </c>
      <c r="Q41" s="55">
        <f t="shared" si="27"/>
        <v>-5</v>
      </c>
      <c r="R41" s="57">
        <f t="shared" ref="R41" si="31">Q41+R40</f>
        <v>6.6599999999999984</v>
      </c>
      <c r="S41" s="113"/>
    </row>
    <row r="42" spans="2:19" outlineLevel="1" x14ac:dyDescent="0.2">
      <c r="B42" s="48">
        <f t="shared" si="14"/>
        <v>39</v>
      </c>
      <c r="C42" s="36" t="s">
        <v>163</v>
      </c>
      <c r="D42" s="86">
        <v>44077</v>
      </c>
      <c r="E42" s="36" t="s">
        <v>35</v>
      </c>
      <c r="F42" s="36" t="s">
        <v>28</v>
      </c>
      <c r="G42" s="70" t="s">
        <v>70</v>
      </c>
      <c r="H42" s="70">
        <v>1000</v>
      </c>
      <c r="I42" s="74" t="s">
        <v>128</v>
      </c>
      <c r="J42" s="36" t="s">
        <v>118</v>
      </c>
      <c r="K42" s="70">
        <v>5</v>
      </c>
      <c r="L42" s="47" t="s">
        <v>61</v>
      </c>
      <c r="M42" s="12">
        <v>4.2</v>
      </c>
      <c r="N42" s="38">
        <v>3.1123076923076924</v>
      </c>
      <c r="O42" s="39">
        <v>1.32</v>
      </c>
      <c r="P42" s="38">
        <v>0</v>
      </c>
      <c r="Q42" s="55">
        <f t="shared" si="27"/>
        <v>-3.1</v>
      </c>
      <c r="R42" s="57">
        <f t="shared" ref="R42" si="32">Q42+R41</f>
        <v>3.5599999999999983</v>
      </c>
      <c r="S42" s="113"/>
    </row>
    <row r="43" spans="2:19" outlineLevel="1" x14ac:dyDescent="0.2">
      <c r="B43" s="48">
        <f t="shared" si="14"/>
        <v>40</v>
      </c>
      <c r="C43" s="36" t="s">
        <v>164</v>
      </c>
      <c r="D43" s="86">
        <v>44078</v>
      </c>
      <c r="E43" s="36" t="s">
        <v>59</v>
      </c>
      <c r="F43" s="36" t="s">
        <v>39</v>
      </c>
      <c r="G43" s="70" t="s">
        <v>70</v>
      </c>
      <c r="H43" s="70">
        <v>1000</v>
      </c>
      <c r="I43" s="74" t="s">
        <v>131</v>
      </c>
      <c r="J43" s="36" t="s">
        <v>118</v>
      </c>
      <c r="K43" s="70">
        <v>4</v>
      </c>
      <c r="L43" s="47" t="s">
        <v>12</v>
      </c>
      <c r="M43" s="12">
        <v>17</v>
      </c>
      <c r="N43" s="38">
        <v>0.62250000000000005</v>
      </c>
      <c r="O43" s="39">
        <v>4.2</v>
      </c>
      <c r="P43" s="38">
        <v>0.20666666666666669</v>
      </c>
      <c r="Q43" s="55">
        <f t="shared" si="27"/>
        <v>10.6</v>
      </c>
      <c r="R43" s="57">
        <f t="shared" ref="R43" si="33">Q43+R42</f>
        <v>14.159999999999998</v>
      </c>
      <c r="S43" s="113"/>
    </row>
    <row r="44" spans="2:19" outlineLevel="1" x14ac:dyDescent="0.2">
      <c r="B44" s="48">
        <f t="shared" si="14"/>
        <v>41</v>
      </c>
      <c r="C44" s="36" t="s">
        <v>165</v>
      </c>
      <c r="D44" s="86">
        <v>44079</v>
      </c>
      <c r="E44" s="36" t="s">
        <v>88</v>
      </c>
      <c r="F44" s="36" t="s">
        <v>28</v>
      </c>
      <c r="G44" s="70" t="s">
        <v>70</v>
      </c>
      <c r="H44" s="70">
        <v>1100</v>
      </c>
      <c r="I44" s="74" t="s">
        <v>130</v>
      </c>
      <c r="J44" s="36" t="s">
        <v>118</v>
      </c>
      <c r="K44" s="70">
        <v>7</v>
      </c>
      <c r="L44" s="47" t="s">
        <v>15</v>
      </c>
      <c r="M44" s="12">
        <v>2.91</v>
      </c>
      <c r="N44" s="38">
        <v>5.2411347517730498</v>
      </c>
      <c r="O44" s="39">
        <v>1.23</v>
      </c>
      <c r="P44" s="38">
        <v>0</v>
      </c>
      <c r="Q44" s="55">
        <f t="shared" si="27"/>
        <v>-5.2</v>
      </c>
      <c r="R44" s="57">
        <f t="shared" ref="R44" si="34">Q44+R43</f>
        <v>8.9599999999999973</v>
      </c>
      <c r="S44" s="113"/>
    </row>
    <row r="45" spans="2:19" outlineLevel="1" x14ac:dyDescent="0.2">
      <c r="B45" s="48">
        <f t="shared" si="14"/>
        <v>42</v>
      </c>
      <c r="C45" s="36" t="s">
        <v>166</v>
      </c>
      <c r="D45" s="86">
        <v>44080</v>
      </c>
      <c r="E45" s="36" t="s">
        <v>57</v>
      </c>
      <c r="F45" s="36" t="s">
        <v>28</v>
      </c>
      <c r="G45" s="70" t="s">
        <v>70</v>
      </c>
      <c r="H45" s="70">
        <v>1500</v>
      </c>
      <c r="I45" s="74" t="s">
        <v>131</v>
      </c>
      <c r="J45" s="36" t="s">
        <v>118</v>
      </c>
      <c r="K45" s="70">
        <v>11</v>
      </c>
      <c r="L45" s="47" t="s">
        <v>69</v>
      </c>
      <c r="M45" s="12">
        <v>10.5</v>
      </c>
      <c r="N45" s="38">
        <v>1.0573684210526315</v>
      </c>
      <c r="O45" s="39">
        <v>3.38</v>
      </c>
      <c r="P45" s="38">
        <v>0.4299999999999996</v>
      </c>
      <c r="Q45" s="55">
        <f t="shared" si="27"/>
        <v>-1.5</v>
      </c>
      <c r="R45" s="57">
        <f t="shared" ref="R45" si="35">Q45+R44</f>
        <v>7.4599999999999973</v>
      </c>
      <c r="S45" s="113"/>
    </row>
    <row r="46" spans="2:19" outlineLevel="1" x14ac:dyDescent="0.2">
      <c r="B46" s="48">
        <f t="shared" si="14"/>
        <v>43</v>
      </c>
      <c r="C46" s="36" t="s">
        <v>167</v>
      </c>
      <c r="D46" s="86">
        <v>44080</v>
      </c>
      <c r="E46" s="36" t="s">
        <v>57</v>
      </c>
      <c r="F46" s="36" t="s">
        <v>13</v>
      </c>
      <c r="G46" s="70" t="s">
        <v>70</v>
      </c>
      <c r="H46" s="70">
        <v>1200</v>
      </c>
      <c r="I46" s="74" t="s">
        <v>131</v>
      </c>
      <c r="J46" s="36" t="s">
        <v>118</v>
      </c>
      <c r="K46" s="70">
        <v>13</v>
      </c>
      <c r="L46" s="47" t="s">
        <v>69</v>
      </c>
      <c r="M46" s="12">
        <v>4.08</v>
      </c>
      <c r="N46" s="38">
        <v>3.2485714285714287</v>
      </c>
      <c r="O46" s="39">
        <v>1.81</v>
      </c>
      <c r="P46" s="38">
        <v>3.9753846153846153</v>
      </c>
      <c r="Q46" s="55">
        <f t="shared" si="27"/>
        <v>-7.2</v>
      </c>
      <c r="R46" s="57">
        <f t="shared" ref="R46" si="36">Q46+R45</f>
        <v>0.25999999999999712</v>
      </c>
      <c r="S46" s="113"/>
    </row>
    <row r="47" spans="2:19" outlineLevel="1" x14ac:dyDescent="0.2">
      <c r="B47" s="48">
        <f t="shared" si="14"/>
        <v>44</v>
      </c>
      <c r="C47" s="36" t="s">
        <v>168</v>
      </c>
      <c r="D47" s="86">
        <v>44080</v>
      </c>
      <c r="E47" s="36" t="s">
        <v>57</v>
      </c>
      <c r="F47" s="36" t="s">
        <v>13</v>
      </c>
      <c r="G47" s="70" t="s">
        <v>70</v>
      </c>
      <c r="H47" s="70">
        <v>1200</v>
      </c>
      <c r="I47" s="74" t="s">
        <v>131</v>
      </c>
      <c r="J47" s="36" t="s">
        <v>118</v>
      </c>
      <c r="K47" s="70">
        <v>3</v>
      </c>
      <c r="L47" s="47" t="s">
        <v>76</v>
      </c>
      <c r="M47" s="12">
        <v>9.9499999999999993</v>
      </c>
      <c r="N47" s="38">
        <v>1.1214285714285712</v>
      </c>
      <c r="O47" s="39">
        <v>2.88</v>
      </c>
      <c r="P47" s="38">
        <v>0.61142857142857088</v>
      </c>
      <c r="Q47" s="55">
        <f t="shared" si="27"/>
        <v>-1.7</v>
      </c>
      <c r="R47" s="57">
        <f t="shared" ref="R47" si="37">Q47+R46</f>
        <v>-1.4400000000000028</v>
      </c>
      <c r="S47" s="113"/>
    </row>
    <row r="48" spans="2:19" outlineLevel="1" x14ac:dyDescent="0.2">
      <c r="B48" s="48">
        <f t="shared" si="14"/>
        <v>45</v>
      </c>
      <c r="C48" s="36" t="s">
        <v>139</v>
      </c>
      <c r="D48" s="86">
        <v>44080</v>
      </c>
      <c r="E48" s="36" t="s">
        <v>57</v>
      </c>
      <c r="F48" s="36" t="s">
        <v>32</v>
      </c>
      <c r="G48" s="70" t="s">
        <v>72</v>
      </c>
      <c r="H48" s="70">
        <v>1200</v>
      </c>
      <c r="I48" s="74" t="s">
        <v>131</v>
      </c>
      <c r="J48" s="36" t="s">
        <v>118</v>
      </c>
      <c r="K48" s="70">
        <v>8</v>
      </c>
      <c r="L48" s="47" t="s">
        <v>12</v>
      </c>
      <c r="M48" s="12">
        <v>1.49</v>
      </c>
      <c r="N48" s="38">
        <v>20.364651162790697</v>
      </c>
      <c r="O48" s="39">
        <v>1.1299999999999999</v>
      </c>
      <c r="P48" s="38">
        <v>0</v>
      </c>
      <c r="Q48" s="55">
        <f t="shared" si="27"/>
        <v>10</v>
      </c>
      <c r="R48" s="57">
        <f t="shared" ref="R48" si="38">Q48+R47</f>
        <v>8.5599999999999969</v>
      </c>
      <c r="S48" s="113"/>
    </row>
    <row r="49" spans="2:19" outlineLevel="1" collapsed="1" x14ac:dyDescent="0.2">
      <c r="B49" s="48">
        <f t="shared" si="14"/>
        <v>46</v>
      </c>
      <c r="C49" s="36" t="s">
        <v>169</v>
      </c>
      <c r="D49" s="86">
        <v>44081</v>
      </c>
      <c r="E49" s="36" t="s">
        <v>40</v>
      </c>
      <c r="F49" s="36" t="s">
        <v>39</v>
      </c>
      <c r="G49" s="70" t="s">
        <v>70</v>
      </c>
      <c r="H49" s="70">
        <v>1100</v>
      </c>
      <c r="I49" s="74" t="s">
        <v>131</v>
      </c>
      <c r="J49" s="36" t="s">
        <v>118</v>
      </c>
      <c r="K49" s="70">
        <v>7</v>
      </c>
      <c r="L49" s="47" t="s">
        <v>86</v>
      </c>
      <c r="M49" s="12">
        <v>13.63</v>
      </c>
      <c r="N49" s="38">
        <v>0.78843137254901952</v>
      </c>
      <c r="O49" s="39">
        <v>3.53</v>
      </c>
      <c r="P49" s="38">
        <v>0.30933333333333313</v>
      </c>
      <c r="Q49" s="55">
        <f t="shared" si="27"/>
        <v>-1.1000000000000001</v>
      </c>
      <c r="R49" s="57">
        <f t="shared" ref="R49" si="39">Q49+R48</f>
        <v>7.4599999999999973</v>
      </c>
      <c r="S49" s="113"/>
    </row>
    <row r="50" spans="2:19" outlineLevel="1" x14ac:dyDescent="0.2">
      <c r="B50" s="48">
        <f t="shared" si="14"/>
        <v>47</v>
      </c>
      <c r="C50" s="36" t="s">
        <v>170</v>
      </c>
      <c r="D50" s="86">
        <v>44081</v>
      </c>
      <c r="E50" s="36" t="s">
        <v>40</v>
      </c>
      <c r="F50" s="36" t="s">
        <v>39</v>
      </c>
      <c r="G50" s="70" t="s">
        <v>70</v>
      </c>
      <c r="H50" s="70">
        <v>1100</v>
      </c>
      <c r="I50" s="74" t="s">
        <v>131</v>
      </c>
      <c r="J50" s="36" t="s">
        <v>118</v>
      </c>
      <c r="K50" s="70">
        <v>8</v>
      </c>
      <c r="L50" s="47" t="s">
        <v>11</v>
      </c>
      <c r="M50" s="12">
        <v>4.09</v>
      </c>
      <c r="N50" s="38">
        <v>3.2485714285714287</v>
      </c>
      <c r="O50" s="39">
        <v>1.74</v>
      </c>
      <c r="P50" s="38">
        <v>4.4340740740740738</v>
      </c>
      <c r="Q50" s="55">
        <f t="shared" si="27"/>
        <v>0</v>
      </c>
      <c r="R50" s="57">
        <f t="shared" ref="R50" si="40">Q50+R49</f>
        <v>7.4599999999999973</v>
      </c>
      <c r="S50" s="113"/>
    </row>
    <row r="51" spans="2:19" outlineLevel="1" x14ac:dyDescent="0.2">
      <c r="B51" s="48">
        <f t="shared" si="14"/>
        <v>48</v>
      </c>
      <c r="C51" s="36" t="s">
        <v>171</v>
      </c>
      <c r="D51" s="86">
        <v>44082</v>
      </c>
      <c r="E51" s="36" t="s">
        <v>17</v>
      </c>
      <c r="F51" s="36" t="s">
        <v>28</v>
      </c>
      <c r="G51" s="70" t="s">
        <v>70</v>
      </c>
      <c r="H51" s="70">
        <v>1000</v>
      </c>
      <c r="I51" s="74" t="s">
        <v>130</v>
      </c>
      <c r="J51" s="36" t="s">
        <v>118</v>
      </c>
      <c r="K51" s="70">
        <v>4</v>
      </c>
      <c r="L51" s="47" t="s">
        <v>86</v>
      </c>
      <c r="M51" s="12">
        <v>3.14</v>
      </c>
      <c r="N51" s="38">
        <v>4.6674057740887749</v>
      </c>
      <c r="O51" s="39">
        <v>1.59</v>
      </c>
      <c r="P51" s="38">
        <v>0</v>
      </c>
      <c r="Q51" s="55">
        <f t="shared" si="27"/>
        <v>-4.7</v>
      </c>
      <c r="R51" s="57">
        <f t="shared" ref="R51" si="41">Q51+R50</f>
        <v>2.7599999999999971</v>
      </c>
      <c r="S51" s="113"/>
    </row>
    <row r="52" spans="2:19" outlineLevel="1" x14ac:dyDescent="0.2">
      <c r="B52" s="48">
        <f t="shared" si="14"/>
        <v>49</v>
      </c>
      <c r="C52" s="36" t="s">
        <v>172</v>
      </c>
      <c r="D52" s="86">
        <v>44082</v>
      </c>
      <c r="E52" s="36" t="s">
        <v>17</v>
      </c>
      <c r="F52" s="36" t="s">
        <v>28</v>
      </c>
      <c r="G52" s="70" t="s">
        <v>70</v>
      </c>
      <c r="H52" s="70">
        <v>1000</v>
      </c>
      <c r="I52" s="74" t="s">
        <v>130</v>
      </c>
      <c r="J52" s="36" t="s">
        <v>118</v>
      </c>
      <c r="K52" s="70">
        <v>5</v>
      </c>
      <c r="L52" s="47" t="s">
        <v>69</v>
      </c>
      <c r="M52" s="12">
        <v>3.44</v>
      </c>
      <c r="N52" s="38">
        <v>4.1117948717948716</v>
      </c>
      <c r="O52" s="39">
        <v>1.56</v>
      </c>
      <c r="P52" s="38">
        <v>0</v>
      </c>
      <c r="Q52" s="55">
        <f t="shared" si="27"/>
        <v>-4.0999999999999996</v>
      </c>
      <c r="R52" s="57">
        <f t="shared" ref="R52" si="42">Q52+R51</f>
        <v>-1.3400000000000025</v>
      </c>
      <c r="S52" s="113"/>
    </row>
    <row r="53" spans="2:19" outlineLevel="1" x14ac:dyDescent="0.2">
      <c r="B53" s="48">
        <f t="shared" si="14"/>
        <v>50</v>
      </c>
      <c r="C53" s="36" t="s">
        <v>173</v>
      </c>
      <c r="D53" s="86">
        <v>44082</v>
      </c>
      <c r="E53" s="36" t="s">
        <v>17</v>
      </c>
      <c r="F53" s="36" t="s">
        <v>39</v>
      </c>
      <c r="G53" s="70" t="s">
        <v>70</v>
      </c>
      <c r="H53" s="70">
        <v>1000</v>
      </c>
      <c r="I53" s="74" t="s">
        <v>130</v>
      </c>
      <c r="J53" s="36" t="s">
        <v>118</v>
      </c>
      <c r="K53" s="70">
        <v>4</v>
      </c>
      <c r="L53" s="47" t="s">
        <v>69</v>
      </c>
      <c r="M53" s="12">
        <v>3.55</v>
      </c>
      <c r="N53" s="38">
        <v>3.9175609756097565</v>
      </c>
      <c r="O53" s="39">
        <v>1.7</v>
      </c>
      <c r="P53" s="38">
        <v>0</v>
      </c>
      <c r="Q53" s="55">
        <f t="shared" si="27"/>
        <v>-3.9</v>
      </c>
      <c r="R53" s="57">
        <f t="shared" ref="R53" si="43">Q53+R52</f>
        <v>-5.240000000000002</v>
      </c>
      <c r="S53" s="113"/>
    </row>
    <row r="54" spans="2:19" outlineLevel="1" x14ac:dyDescent="0.2">
      <c r="B54" s="48">
        <f t="shared" si="14"/>
        <v>51</v>
      </c>
      <c r="C54" s="36" t="s">
        <v>174</v>
      </c>
      <c r="D54" s="86">
        <v>44084</v>
      </c>
      <c r="E54" s="36" t="s">
        <v>43</v>
      </c>
      <c r="F54" s="36" t="s">
        <v>39</v>
      </c>
      <c r="G54" s="70" t="s">
        <v>70</v>
      </c>
      <c r="H54" s="70">
        <v>1200</v>
      </c>
      <c r="I54" s="74" t="s">
        <v>131</v>
      </c>
      <c r="J54" s="36" t="s">
        <v>118</v>
      </c>
      <c r="K54" s="70">
        <v>7</v>
      </c>
      <c r="L54" s="47" t="s">
        <v>12</v>
      </c>
      <c r="M54" s="12">
        <v>8.4</v>
      </c>
      <c r="N54" s="38">
        <v>1.3502898550724636</v>
      </c>
      <c r="O54" s="39">
        <v>2.4500000000000002</v>
      </c>
      <c r="P54" s="38">
        <v>0.90999999999999992</v>
      </c>
      <c r="Q54" s="55">
        <f t="shared" si="27"/>
        <v>11.3</v>
      </c>
      <c r="R54" s="57">
        <f t="shared" ref="R54" si="44">Q54+R53</f>
        <v>6.0599999999999987</v>
      </c>
      <c r="S54" s="113"/>
    </row>
    <row r="55" spans="2:19" outlineLevel="1" x14ac:dyDescent="0.2">
      <c r="B55" s="48">
        <f t="shared" si="14"/>
        <v>52</v>
      </c>
      <c r="C55" s="36" t="s">
        <v>175</v>
      </c>
      <c r="D55" s="86">
        <v>44084</v>
      </c>
      <c r="E55" s="36" t="s">
        <v>43</v>
      </c>
      <c r="F55" s="36" t="s">
        <v>13</v>
      </c>
      <c r="G55" s="70" t="s">
        <v>70</v>
      </c>
      <c r="H55" s="70">
        <v>1200</v>
      </c>
      <c r="I55" s="74" t="s">
        <v>131</v>
      </c>
      <c r="J55" s="36" t="s">
        <v>118</v>
      </c>
      <c r="K55" s="70">
        <v>7</v>
      </c>
      <c r="L55" s="47" t="s">
        <v>11</v>
      </c>
      <c r="M55" s="12">
        <v>2.2799999999999998</v>
      </c>
      <c r="N55" s="38">
        <v>7.8351219512195129</v>
      </c>
      <c r="O55" s="39">
        <v>1.37</v>
      </c>
      <c r="P55" s="38">
        <v>0</v>
      </c>
      <c r="Q55" s="55">
        <f t="shared" si="27"/>
        <v>-7.8</v>
      </c>
      <c r="R55" s="57">
        <f t="shared" ref="R55" si="45">Q55+R54</f>
        <v>-1.7400000000000011</v>
      </c>
      <c r="S55" s="113"/>
    </row>
    <row r="56" spans="2:19" outlineLevel="1" x14ac:dyDescent="0.2">
      <c r="B56" s="48">
        <f t="shared" si="14"/>
        <v>53</v>
      </c>
      <c r="C56" s="36" t="s">
        <v>176</v>
      </c>
      <c r="D56" s="86">
        <v>44085</v>
      </c>
      <c r="E56" s="36" t="s">
        <v>36</v>
      </c>
      <c r="F56" s="36" t="s">
        <v>39</v>
      </c>
      <c r="G56" s="70" t="s">
        <v>70</v>
      </c>
      <c r="H56" s="70">
        <v>975</v>
      </c>
      <c r="I56" s="74" t="s">
        <v>131</v>
      </c>
      <c r="J56" s="36" t="s">
        <v>118</v>
      </c>
      <c r="K56" s="70">
        <v>4</v>
      </c>
      <c r="L56" s="47" t="s">
        <v>12</v>
      </c>
      <c r="M56" s="12">
        <v>2.37</v>
      </c>
      <c r="N56" s="38">
        <v>7.2763636363636355</v>
      </c>
      <c r="O56" s="39">
        <v>1.32</v>
      </c>
      <c r="P56" s="38">
        <v>0</v>
      </c>
      <c r="Q56" s="55">
        <f t="shared" si="27"/>
        <v>10</v>
      </c>
      <c r="R56" s="57">
        <f t="shared" ref="R56" si="46">Q56+R55</f>
        <v>8.259999999999998</v>
      </c>
      <c r="S56" s="113"/>
    </row>
    <row r="57" spans="2:19" outlineLevel="1" x14ac:dyDescent="0.2">
      <c r="B57" s="48">
        <f t="shared" si="14"/>
        <v>54</v>
      </c>
      <c r="C57" s="36" t="s">
        <v>96</v>
      </c>
      <c r="D57" s="86">
        <v>44086</v>
      </c>
      <c r="E57" s="36" t="s">
        <v>34</v>
      </c>
      <c r="F57" s="36" t="s">
        <v>32</v>
      </c>
      <c r="G57" s="70" t="s">
        <v>177</v>
      </c>
      <c r="H57" s="70">
        <v>1100</v>
      </c>
      <c r="I57" s="74" t="s">
        <v>130</v>
      </c>
      <c r="J57" s="36" t="s">
        <v>118</v>
      </c>
      <c r="K57" s="70">
        <v>14</v>
      </c>
      <c r="L57" s="47" t="s">
        <v>15</v>
      </c>
      <c r="M57" s="12">
        <v>6.78</v>
      </c>
      <c r="N57" s="38">
        <v>1.7360869565217396</v>
      </c>
      <c r="O57" s="39">
        <v>3</v>
      </c>
      <c r="P57" s="38">
        <v>0.88</v>
      </c>
      <c r="Q57" s="55">
        <f t="shared" si="27"/>
        <v>0</v>
      </c>
      <c r="R57" s="57">
        <f t="shared" ref="R57" si="47">Q57+R56</f>
        <v>8.259999999999998</v>
      </c>
      <c r="S57" s="113"/>
    </row>
    <row r="58" spans="2:19" outlineLevel="1" x14ac:dyDescent="0.2">
      <c r="B58" s="48">
        <f t="shared" si="14"/>
        <v>55</v>
      </c>
      <c r="C58" s="36" t="s">
        <v>90</v>
      </c>
      <c r="D58" s="86">
        <v>44087</v>
      </c>
      <c r="E58" s="36" t="s">
        <v>18</v>
      </c>
      <c r="F58" s="36" t="s">
        <v>39</v>
      </c>
      <c r="G58" s="70" t="s">
        <v>70</v>
      </c>
      <c r="H58" s="70">
        <v>1200</v>
      </c>
      <c r="I58" s="74" t="s">
        <v>130</v>
      </c>
      <c r="J58" s="36" t="s">
        <v>118</v>
      </c>
      <c r="K58" s="70">
        <v>8</v>
      </c>
      <c r="L58" s="47" t="s">
        <v>12</v>
      </c>
      <c r="M58" s="12">
        <v>2.3199999999999998</v>
      </c>
      <c r="N58" s="38">
        <v>7.6067074663402687</v>
      </c>
      <c r="O58" s="39">
        <v>1.17</v>
      </c>
      <c r="P58" s="38">
        <v>0</v>
      </c>
      <c r="Q58" s="55">
        <f t="shared" si="27"/>
        <v>10</v>
      </c>
      <c r="R58" s="57">
        <f t="shared" ref="R58" si="48">Q58+R57</f>
        <v>18.259999999999998</v>
      </c>
      <c r="S58" s="113"/>
    </row>
    <row r="59" spans="2:19" outlineLevel="1" x14ac:dyDescent="0.2">
      <c r="B59" s="48">
        <f t="shared" si="14"/>
        <v>56</v>
      </c>
      <c r="C59" s="36" t="s">
        <v>182</v>
      </c>
      <c r="D59" s="86">
        <v>44088</v>
      </c>
      <c r="E59" s="36" t="s">
        <v>56</v>
      </c>
      <c r="F59" s="36" t="s">
        <v>13</v>
      </c>
      <c r="G59" s="70" t="s">
        <v>70</v>
      </c>
      <c r="H59" s="70">
        <v>1400</v>
      </c>
      <c r="I59" s="74" t="s">
        <v>132</v>
      </c>
      <c r="J59" s="36" t="s">
        <v>118</v>
      </c>
      <c r="K59" s="70">
        <v>9</v>
      </c>
      <c r="L59" s="47" t="s">
        <v>68</v>
      </c>
      <c r="M59" s="12">
        <v>11.71</v>
      </c>
      <c r="N59" s="38">
        <v>0.9333683639042929</v>
      </c>
      <c r="O59" s="39">
        <v>3.47</v>
      </c>
      <c r="P59" s="38">
        <v>0.37938775510204081</v>
      </c>
      <c r="Q59" s="55">
        <f t="shared" si="27"/>
        <v>-1.3</v>
      </c>
      <c r="R59" s="57">
        <f t="shared" ref="R59" si="49">Q59+R58</f>
        <v>16.959999999999997</v>
      </c>
      <c r="S59" s="113"/>
    </row>
    <row r="60" spans="2:19" outlineLevel="1" x14ac:dyDescent="0.2">
      <c r="B60" s="48">
        <f t="shared" si="14"/>
        <v>57</v>
      </c>
      <c r="C60" s="36" t="s">
        <v>183</v>
      </c>
      <c r="D60" s="86">
        <v>44090</v>
      </c>
      <c r="E60" s="36" t="s">
        <v>44</v>
      </c>
      <c r="F60" s="36" t="s">
        <v>52</v>
      </c>
      <c r="G60" s="70" t="s">
        <v>74</v>
      </c>
      <c r="H60" s="70">
        <v>1100</v>
      </c>
      <c r="I60" s="74" t="s">
        <v>131</v>
      </c>
      <c r="J60" s="36" t="s">
        <v>118</v>
      </c>
      <c r="K60" s="70">
        <v>9</v>
      </c>
      <c r="L60" s="47" t="s">
        <v>86</v>
      </c>
      <c r="M60" s="12">
        <v>6.2</v>
      </c>
      <c r="N60" s="38">
        <v>1.9234615384615386</v>
      </c>
      <c r="O60" s="39">
        <v>2.02</v>
      </c>
      <c r="P60" s="38">
        <v>1.8857415952537906</v>
      </c>
      <c r="Q60" s="55">
        <f t="shared" si="27"/>
        <v>-3.8</v>
      </c>
      <c r="R60" s="57">
        <f t="shared" ref="R60" si="50">Q60+R59</f>
        <v>13.159999999999997</v>
      </c>
      <c r="S60" s="113"/>
    </row>
    <row r="61" spans="2:19" outlineLevel="1" x14ac:dyDescent="0.2">
      <c r="B61" s="48">
        <f t="shared" si="14"/>
        <v>58</v>
      </c>
      <c r="C61" s="36" t="s">
        <v>165</v>
      </c>
      <c r="D61" s="86">
        <v>44092</v>
      </c>
      <c r="E61" s="36" t="s">
        <v>57</v>
      </c>
      <c r="F61" s="36" t="s">
        <v>28</v>
      </c>
      <c r="G61" s="70" t="s">
        <v>70</v>
      </c>
      <c r="H61" s="70">
        <v>1200</v>
      </c>
      <c r="I61" s="74" t="s">
        <v>130</v>
      </c>
      <c r="J61" s="36" t="s">
        <v>118</v>
      </c>
      <c r="K61" s="70">
        <v>11</v>
      </c>
      <c r="L61" s="47" t="s">
        <v>12</v>
      </c>
      <c r="M61" s="12">
        <v>1.72</v>
      </c>
      <c r="N61" s="38">
        <v>13.890043383947935</v>
      </c>
      <c r="O61" s="39">
        <v>1.1200000000000001</v>
      </c>
      <c r="P61" s="38">
        <v>0</v>
      </c>
      <c r="Q61" s="55">
        <f t="shared" si="27"/>
        <v>10</v>
      </c>
      <c r="R61" s="57">
        <f t="shared" ref="R61" si="51">Q61+R60</f>
        <v>23.159999999999997</v>
      </c>
      <c r="S61" s="113"/>
    </row>
    <row r="62" spans="2:19" outlineLevel="1" x14ac:dyDescent="0.2">
      <c r="B62" s="48">
        <f t="shared" si="14"/>
        <v>59</v>
      </c>
      <c r="C62" s="36" t="s">
        <v>161</v>
      </c>
      <c r="D62" s="86">
        <v>44092</v>
      </c>
      <c r="E62" s="36" t="s">
        <v>57</v>
      </c>
      <c r="F62" s="36" t="s">
        <v>39</v>
      </c>
      <c r="G62" s="70" t="s">
        <v>70</v>
      </c>
      <c r="H62" s="70">
        <v>1300</v>
      </c>
      <c r="I62" s="74" t="s">
        <v>130</v>
      </c>
      <c r="J62" s="36" t="s">
        <v>118</v>
      </c>
      <c r="K62" s="70">
        <v>10</v>
      </c>
      <c r="L62" s="47" t="s">
        <v>69</v>
      </c>
      <c r="M62" s="12">
        <v>2.81</v>
      </c>
      <c r="N62" s="38">
        <v>5.5254143646408842</v>
      </c>
      <c r="O62" s="39">
        <v>1.46</v>
      </c>
      <c r="P62" s="38">
        <v>0</v>
      </c>
      <c r="Q62" s="55">
        <f t="shared" si="27"/>
        <v>-5.5</v>
      </c>
      <c r="R62" s="57">
        <f t="shared" ref="R62" si="52">Q62+R61</f>
        <v>17.659999999999997</v>
      </c>
      <c r="S62" s="113"/>
    </row>
    <row r="63" spans="2:19" outlineLevel="1" x14ac:dyDescent="0.2">
      <c r="B63" s="48">
        <f t="shared" si="14"/>
        <v>60</v>
      </c>
      <c r="C63" s="36" t="s">
        <v>153</v>
      </c>
      <c r="D63" s="86">
        <v>44092</v>
      </c>
      <c r="E63" s="36" t="s">
        <v>57</v>
      </c>
      <c r="F63" s="36" t="s">
        <v>13</v>
      </c>
      <c r="G63" s="70" t="s">
        <v>70</v>
      </c>
      <c r="H63" s="70">
        <v>1700</v>
      </c>
      <c r="I63" s="74" t="s">
        <v>130</v>
      </c>
      <c r="J63" s="36" t="s">
        <v>118</v>
      </c>
      <c r="K63" s="70">
        <v>6</v>
      </c>
      <c r="L63" s="47" t="s">
        <v>12</v>
      </c>
      <c r="M63" s="12">
        <v>20.079999999999998</v>
      </c>
      <c r="N63" s="38">
        <v>0.52417450867422055</v>
      </c>
      <c r="O63" s="39">
        <v>4.62</v>
      </c>
      <c r="P63" s="38">
        <v>0.14611111111111111</v>
      </c>
      <c r="Q63" s="55">
        <f t="shared" si="27"/>
        <v>10.5</v>
      </c>
      <c r="R63" s="57">
        <f t="shared" ref="R63" si="53">Q63+R62</f>
        <v>28.159999999999997</v>
      </c>
      <c r="S63" s="113"/>
    </row>
    <row r="64" spans="2:19" outlineLevel="1" x14ac:dyDescent="0.2">
      <c r="B64" s="48">
        <f t="shared" si="14"/>
        <v>61</v>
      </c>
      <c r="C64" s="36" t="s">
        <v>184</v>
      </c>
      <c r="D64" s="86">
        <v>44092</v>
      </c>
      <c r="E64" s="36" t="s">
        <v>57</v>
      </c>
      <c r="F64" s="36" t="s">
        <v>37</v>
      </c>
      <c r="G64" s="70" t="s">
        <v>70</v>
      </c>
      <c r="H64" s="70">
        <v>1100</v>
      </c>
      <c r="I64" s="74" t="s">
        <v>130</v>
      </c>
      <c r="J64" s="36" t="s">
        <v>118</v>
      </c>
      <c r="K64" s="70">
        <v>3</v>
      </c>
      <c r="L64" s="47" t="s">
        <v>11</v>
      </c>
      <c r="M64" s="12">
        <v>11.12</v>
      </c>
      <c r="N64" s="38">
        <v>0.98852204585537939</v>
      </c>
      <c r="O64" s="39">
        <v>3</v>
      </c>
      <c r="P64" s="38">
        <v>0.495</v>
      </c>
      <c r="Q64" s="55">
        <f t="shared" si="27"/>
        <v>0</v>
      </c>
      <c r="R64" s="57">
        <f t="shared" ref="R64" si="54">Q64+R63</f>
        <v>28.159999999999997</v>
      </c>
      <c r="S64" s="113"/>
    </row>
    <row r="65" spans="2:20" outlineLevel="1" x14ac:dyDescent="0.2">
      <c r="B65" s="48">
        <f t="shared" si="14"/>
        <v>62</v>
      </c>
      <c r="C65" s="36" t="s">
        <v>185</v>
      </c>
      <c r="D65" s="86">
        <v>44093</v>
      </c>
      <c r="E65" s="36" t="s">
        <v>82</v>
      </c>
      <c r="F65" s="36" t="s">
        <v>28</v>
      </c>
      <c r="G65" s="70" t="s">
        <v>70</v>
      </c>
      <c r="H65" s="70">
        <v>1100</v>
      </c>
      <c r="I65" s="74" t="s">
        <v>131</v>
      </c>
      <c r="J65" s="36" t="s">
        <v>118</v>
      </c>
      <c r="K65" s="70">
        <v>7</v>
      </c>
      <c r="L65" s="47" t="s">
        <v>66</v>
      </c>
      <c r="M65" s="12">
        <v>2.52</v>
      </c>
      <c r="N65" s="38">
        <v>6.5799588477366262</v>
      </c>
      <c r="O65" s="39">
        <v>1.87</v>
      </c>
      <c r="P65" s="38">
        <v>0</v>
      </c>
      <c r="Q65" s="55">
        <f t="shared" si="27"/>
        <v>-6.6</v>
      </c>
      <c r="R65" s="57">
        <f t="shared" ref="R65" si="55">Q65+R64</f>
        <v>21.559999999999995</v>
      </c>
      <c r="S65" s="12"/>
      <c r="T65" s="39"/>
    </row>
    <row r="66" spans="2:20" outlineLevel="1" collapsed="1" x14ac:dyDescent="0.2">
      <c r="B66" s="48">
        <f t="shared" si="14"/>
        <v>63</v>
      </c>
      <c r="C66" s="36" t="s">
        <v>84</v>
      </c>
      <c r="D66" s="86">
        <v>44094</v>
      </c>
      <c r="E66" s="36" t="s">
        <v>35</v>
      </c>
      <c r="F66" s="36" t="s">
        <v>39</v>
      </c>
      <c r="G66" s="70" t="s">
        <v>70</v>
      </c>
      <c r="H66" s="70">
        <v>1200</v>
      </c>
      <c r="I66" s="74" t="s">
        <v>131</v>
      </c>
      <c r="J66" s="36" t="s">
        <v>118</v>
      </c>
      <c r="K66" s="70">
        <v>2</v>
      </c>
      <c r="L66" s="47" t="s">
        <v>68</v>
      </c>
      <c r="M66" s="12">
        <v>5.8</v>
      </c>
      <c r="N66" s="38">
        <v>2.0936842105263156</v>
      </c>
      <c r="O66" s="39">
        <v>2.4300000000000002</v>
      </c>
      <c r="P66" s="38">
        <v>1.44</v>
      </c>
      <c r="Q66" s="55">
        <f t="shared" si="27"/>
        <v>-3.5</v>
      </c>
      <c r="R66" s="57">
        <f t="shared" ref="R66" si="56">Q66+R65</f>
        <v>18.059999999999995</v>
      </c>
      <c r="S66" s="12"/>
      <c r="T66" s="39"/>
    </row>
    <row r="67" spans="2:20" outlineLevel="1" x14ac:dyDescent="0.2">
      <c r="B67" s="48">
        <f t="shared" si="14"/>
        <v>64</v>
      </c>
      <c r="C67" s="36" t="s">
        <v>167</v>
      </c>
      <c r="D67" s="86">
        <v>44094</v>
      </c>
      <c r="E67" s="36" t="s">
        <v>35</v>
      </c>
      <c r="F67" s="36" t="s">
        <v>13</v>
      </c>
      <c r="G67" s="70" t="s">
        <v>70</v>
      </c>
      <c r="H67" s="70">
        <v>1400</v>
      </c>
      <c r="I67" s="74" t="s">
        <v>131</v>
      </c>
      <c r="J67" s="36" t="s">
        <v>118</v>
      </c>
      <c r="K67" s="70">
        <v>12</v>
      </c>
      <c r="L67" s="47" t="s">
        <v>11</v>
      </c>
      <c r="M67" s="12">
        <v>10.210000000000001</v>
      </c>
      <c r="N67" s="38">
        <v>1.0880864197530864</v>
      </c>
      <c r="O67" s="39">
        <v>2.83</v>
      </c>
      <c r="P67" s="38">
        <v>0.61142857142857088</v>
      </c>
      <c r="Q67" s="55">
        <f t="shared" si="27"/>
        <v>0</v>
      </c>
      <c r="R67" s="57">
        <f t="shared" ref="R67" si="57">Q67+R66</f>
        <v>18.059999999999995</v>
      </c>
      <c r="S67" s="113"/>
    </row>
    <row r="68" spans="2:20" outlineLevel="1" x14ac:dyDescent="0.2">
      <c r="B68" s="48">
        <f t="shared" si="14"/>
        <v>65</v>
      </c>
      <c r="C68" s="36" t="s">
        <v>187</v>
      </c>
      <c r="D68" s="86">
        <v>44096</v>
      </c>
      <c r="E68" s="36" t="s">
        <v>38</v>
      </c>
      <c r="F68" s="36" t="s">
        <v>39</v>
      </c>
      <c r="G68" s="70" t="s">
        <v>70</v>
      </c>
      <c r="H68" s="70">
        <v>1100</v>
      </c>
      <c r="I68" s="74" t="s">
        <v>130</v>
      </c>
      <c r="J68" s="36" t="s">
        <v>118</v>
      </c>
      <c r="K68" s="70">
        <v>10</v>
      </c>
      <c r="L68" s="47" t="s">
        <v>69</v>
      </c>
      <c r="M68" s="12">
        <v>12.34</v>
      </c>
      <c r="N68" s="38">
        <v>0.88439613526570049</v>
      </c>
      <c r="O68" s="39">
        <v>2.3199999999999998</v>
      </c>
      <c r="P68" s="38">
        <v>0.68000000000000016</v>
      </c>
      <c r="Q68" s="55">
        <f t="shared" si="27"/>
        <v>-1.6</v>
      </c>
      <c r="R68" s="57">
        <f t="shared" ref="R68" si="58">Q68+R67</f>
        <v>16.459999999999994</v>
      </c>
      <c r="S68" s="113"/>
    </row>
    <row r="69" spans="2:20" outlineLevel="1" x14ac:dyDescent="0.2">
      <c r="B69" s="48">
        <f t="shared" si="14"/>
        <v>66</v>
      </c>
      <c r="C69" s="36" t="s">
        <v>172</v>
      </c>
      <c r="D69" s="86">
        <v>44096</v>
      </c>
      <c r="E69" s="36" t="s">
        <v>38</v>
      </c>
      <c r="F69" s="36" t="s">
        <v>39</v>
      </c>
      <c r="G69" s="70" t="s">
        <v>70</v>
      </c>
      <c r="H69" s="70">
        <v>1100</v>
      </c>
      <c r="I69" s="74" t="s">
        <v>130</v>
      </c>
      <c r="J69" s="36" t="s">
        <v>118</v>
      </c>
      <c r="K69" s="70">
        <v>4</v>
      </c>
      <c r="L69" s="47" t="s">
        <v>15</v>
      </c>
      <c r="M69" s="12">
        <v>2.59</v>
      </c>
      <c r="N69" s="38">
        <v>6.2909803921568628</v>
      </c>
      <c r="O69" s="39">
        <v>1.19</v>
      </c>
      <c r="P69" s="38">
        <v>0</v>
      </c>
      <c r="Q69" s="55">
        <f t="shared" si="27"/>
        <v>-6.3</v>
      </c>
      <c r="R69" s="57">
        <f t="shared" ref="R69:R79" si="59">Q69+R68</f>
        <v>10.159999999999993</v>
      </c>
      <c r="S69" s="113"/>
    </row>
    <row r="70" spans="2:20" outlineLevel="1" x14ac:dyDescent="0.2">
      <c r="B70" s="48">
        <f t="shared" si="14"/>
        <v>67</v>
      </c>
      <c r="C70" s="36" t="s">
        <v>157</v>
      </c>
      <c r="D70" s="86">
        <v>44098</v>
      </c>
      <c r="E70" s="36" t="s">
        <v>29</v>
      </c>
      <c r="F70" s="36" t="s">
        <v>28</v>
      </c>
      <c r="G70" s="70" t="s">
        <v>70</v>
      </c>
      <c r="H70" s="70">
        <v>1200</v>
      </c>
      <c r="I70" s="74" t="s">
        <v>131</v>
      </c>
      <c r="J70" s="36" t="s">
        <v>118</v>
      </c>
      <c r="K70" s="70">
        <v>9</v>
      </c>
      <c r="L70" s="47" t="s">
        <v>15</v>
      </c>
      <c r="M70" s="12">
        <v>3.82</v>
      </c>
      <c r="N70" s="38">
        <v>3.5533333333333341</v>
      </c>
      <c r="O70" s="39">
        <v>1.63</v>
      </c>
      <c r="P70" s="38">
        <v>0</v>
      </c>
      <c r="Q70" s="55">
        <f t="shared" si="27"/>
        <v>-3.6</v>
      </c>
      <c r="R70" s="57">
        <f t="shared" si="59"/>
        <v>6.5599999999999934</v>
      </c>
      <c r="S70" s="113"/>
    </row>
    <row r="71" spans="2:20" outlineLevel="1" x14ac:dyDescent="0.2">
      <c r="B71" s="48">
        <f t="shared" si="14"/>
        <v>68</v>
      </c>
      <c r="C71" s="36" t="s">
        <v>188</v>
      </c>
      <c r="D71" s="86">
        <v>44098</v>
      </c>
      <c r="E71" s="36" t="s">
        <v>29</v>
      </c>
      <c r="F71" s="36" t="s">
        <v>28</v>
      </c>
      <c r="G71" s="70" t="s">
        <v>70</v>
      </c>
      <c r="H71" s="70">
        <v>1200</v>
      </c>
      <c r="I71" s="74" t="s">
        <v>131</v>
      </c>
      <c r="J71" s="36" t="s">
        <v>118</v>
      </c>
      <c r="K71" s="70">
        <v>1</v>
      </c>
      <c r="L71" s="47" t="s">
        <v>69</v>
      </c>
      <c r="M71" s="12">
        <v>5.09</v>
      </c>
      <c r="N71" s="38">
        <v>2.4381818181818184</v>
      </c>
      <c r="O71" s="39">
        <v>1.91</v>
      </c>
      <c r="P71" s="38">
        <v>2.6742857142857148</v>
      </c>
      <c r="Q71" s="55">
        <f t="shared" si="27"/>
        <v>-5.0999999999999996</v>
      </c>
      <c r="R71" s="57">
        <f t="shared" si="59"/>
        <v>1.4599999999999937</v>
      </c>
      <c r="S71" s="113"/>
    </row>
    <row r="72" spans="2:20" outlineLevel="1" x14ac:dyDescent="0.2">
      <c r="B72" s="48">
        <f t="shared" si="14"/>
        <v>69</v>
      </c>
      <c r="C72" s="36" t="s">
        <v>189</v>
      </c>
      <c r="D72" s="86">
        <v>44098</v>
      </c>
      <c r="E72" s="36" t="s">
        <v>29</v>
      </c>
      <c r="F72" s="36" t="s">
        <v>39</v>
      </c>
      <c r="G72" s="70" t="s">
        <v>70</v>
      </c>
      <c r="H72" s="70">
        <v>1000</v>
      </c>
      <c r="I72" s="74" t="s">
        <v>131</v>
      </c>
      <c r="J72" s="36" t="s">
        <v>118</v>
      </c>
      <c r="K72" s="70">
        <v>7</v>
      </c>
      <c r="L72" s="47" t="s">
        <v>12</v>
      </c>
      <c r="M72" s="12">
        <v>3.45</v>
      </c>
      <c r="N72" s="38">
        <v>4.0813793103448273</v>
      </c>
      <c r="O72" s="39">
        <v>1.43</v>
      </c>
      <c r="P72" s="38">
        <v>0</v>
      </c>
      <c r="Q72" s="55">
        <f t="shared" si="27"/>
        <v>10</v>
      </c>
      <c r="R72" s="57">
        <f t="shared" si="59"/>
        <v>11.459999999999994</v>
      </c>
      <c r="S72" s="113"/>
    </row>
    <row r="73" spans="2:20" outlineLevel="1" collapsed="1" x14ac:dyDescent="0.2">
      <c r="B73" s="48">
        <f t="shared" si="14"/>
        <v>70</v>
      </c>
      <c r="C73" s="36" t="s">
        <v>190</v>
      </c>
      <c r="D73" s="86">
        <v>44098</v>
      </c>
      <c r="E73" s="36" t="s">
        <v>29</v>
      </c>
      <c r="F73" s="36" t="s">
        <v>39</v>
      </c>
      <c r="G73" s="70" t="s">
        <v>70</v>
      </c>
      <c r="H73" s="70">
        <v>1000</v>
      </c>
      <c r="I73" s="74" t="s">
        <v>131</v>
      </c>
      <c r="J73" s="36" t="s">
        <v>118</v>
      </c>
      <c r="K73" s="70">
        <v>13</v>
      </c>
      <c r="L73" s="47" t="s">
        <v>15</v>
      </c>
      <c r="M73" s="12">
        <v>3.67</v>
      </c>
      <c r="N73" s="38">
        <v>3.7269767441860466</v>
      </c>
      <c r="O73" s="39">
        <v>1.73</v>
      </c>
      <c r="P73" s="38">
        <v>5.0991304347826079</v>
      </c>
      <c r="Q73" s="55">
        <f t="shared" si="27"/>
        <v>0</v>
      </c>
      <c r="R73" s="57">
        <f t="shared" si="59"/>
        <v>11.459999999999994</v>
      </c>
      <c r="S73" s="113"/>
    </row>
    <row r="74" spans="2:20" outlineLevel="1" x14ac:dyDescent="0.2">
      <c r="B74" s="48">
        <f t="shared" si="14"/>
        <v>71</v>
      </c>
      <c r="C74" s="36" t="s">
        <v>193</v>
      </c>
      <c r="D74" s="86">
        <v>44099</v>
      </c>
      <c r="E74" s="36" t="s">
        <v>14</v>
      </c>
      <c r="F74" s="36" t="s">
        <v>39</v>
      </c>
      <c r="G74" s="70" t="s">
        <v>70</v>
      </c>
      <c r="H74" s="70">
        <v>1200</v>
      </c>
      <c r="I74" s="74" t="s">
        <v>130</v>
      </c>
      <c r="J74" s="36" t="s">
        <v>118</v>
      </c>
      <c r="K74" s="70">
        <v>7</v>
      </c>
      <c r="L74" s="47" t="s">
        <v>68</v>
      </c>
      <c r="M74" s="12">
        <v>11.42</v>
      </c>
      <c r="N74" s="38">
        <v>0.95761904761904748</v>
      </c>
      <c r="O74" s="39">
        <v>3.3</v>
      </c>
      <c r="P74" s="38">
        <v>0.41500000000000015</v>
      </c>
      <c r="Q74" s="55">
        <f t="shared" si="27"/>
        <v>-1.4</v>
      </c>
      <c r="R74" s="57">
        <f t="shared" si="59"/>
        <v>10.059999999999993</v>
      </c>
      <c r="S74" s="113"/>
    </row>
    <row r="75" spans="2:20" outlineLevel="1" x14ac:dyDescent="0.2">
      <c r="B75" s="48">
        <f t="shared" si="14"/>
        <v>72</v>
      </c>
      <c r="C75" s="36" t="s">
        <v>191</v>
      </c>
      <c r="D75" s="86">
        <v>44099</v>
      </c>
      <c r="E75" s="36" t="s">
        <v>30</v>
      </c>
      <c r="F75" s="36" t="s">
        <v>13</v>
      </c>
      <c r="G75" s="70" t="s">
        <v>192</v>
      </c>
      <c r="H75" s="70">
        <v>955</v>
      </c>
      <c r="I75" s="74" t="s">
        <v>131</v>
      </c>
      <c r="J75" s="36" t="s">
        <v>118</v>
      </c>
      <c r="K75" s="70">
        <v>1</v>
      </c>
      <c r="L75" s="47" t="s">
        <v>12</v>
      </c>
      <c r="M75" s="12">
        <v>2.21</v>
      </c>
      <c r="N75" s="38">
        <v>8.2235897435897432</v>
      </c>
      <c r="O75" s="39">
        <v>1.26</v>
      </c>
      <c r="P75" s="38">
        <v>0</v>
      </c>
      <c r="Q75" s="55">
        <f t="shared" si="27"/>
        <v>10</v>
      </c>
      <c r="R75" s="57">
        <f t="shared" si="59"/>
        <v>20.059999999999995</v>
      </c>
      <c r="S75" s="113"/>
    </row>
    <row r="76" spans="2:20" outlineLevel="1" x14ac:dyDescent="0.2">
      <c r="B76" s="48">
        <f t="shared" si="14"/>
        <v>73</v>
      </c>
      <c r="C76" s="36" t="s">
        <v>96</v>
      </c>
      <c r="D76" s="86">
        <v>44099</v>
      </c>
      <c r="E76" s="36" t="s">
        <v>30</v>
      </c>
      <c r="F76" s="36" t="s">
        <v>45</v>
      </c>
      <c r="G76" s="70" t="s">
        <v>194</v>
      </c>
      <c r="H76" s="70">
        <v>1200</v>
      </c>
      <c r="I76" s="74" t="s">
        <v>130</v>
      </c>
      <c r="J76" s="36" t="s">
        <v>118</v>
      </c>
      <c r="K76" s="70">
        <v>7</v>
      </c>
      <c r="L76" s="47" t="s">
        <v>12</v>
      </c>
      <c r="M76" s="12">
        <v>3.65</v>
      </c>
      <c r="N76" s="38">
        <v>3.7819047619047619</v>
      </c>
      <c r="O76" s="39">
        <v>1.52</v>
      </c>
      <c r="P76" s="38">
        <v>0</v>
      </c>
      <c r="Q76" s="55">
        <f t="shared" si="27"/>
        <v>10</v>
      </c>
      <c r="R76" s="57">
        <f t="shared" si="59"/>
        <v>30.059999999999995</v>
      </c>
      <c r="S76" s="113"/>
    </row>
    <row r="77" spans="2:20" outlineLevel="1" x14ac:dyDescent="0.2">
      <c r="B77" s="68">
        <f t="shared" si="14"/>
        <v>74</v>
      </c>
      <c r="C77" s="11" t="s">
        <v>90</v>
      </c>
      <c r="D77" s="54">
        <v>44100</v>
      </c>
      <c r="E77" s="11" t="s">
        <v>53</v>
      </c>
      <c r="F77" s="11" t="s">
        <v>50</v>
      </c>
      <c r="G77" s="71" t="s">
        <v>194</v>
      </c>
      <c r="H77" s="71">
        <v>1400</v>
      </c>
      <c r="I77" s="80" t="s">
        <v>130</v>
      </c>
      <c r="J77" s="11" t="s">
        <v>118</v>
      </c>
      <c r="K77" s="71">
        <v>2</v>
      </c>
      <c r="L77" s="49" t="s">
        <v>66</v>
      </c>
      <c r="M77" s="50">
        <v>6.57</v>
      </c>
      <c r="N77" s="51">
        <v>1.8009090909090912</v>
      </c>
      <c r="O77" s="52">
        <v>2.02</v>
      </c>
      <c r="P77" s="51">
        <v>1.7799999999999996</v>
      </c>
      <c r="Q77" s="56">
        <f t="shared" si="27"/>
        <v>-3.6</v>
      </c>
      <c r="R77" s="64">
        <f t="shared" si="59"/>
        <v>26.459999999999994</v>
      </c>
      <c r="S77" s="113"/>
    </row>
    <row r="78" spans="2:20" outlineLevel="1" x14ac:dyDescent="0.2">
      <c r="B78" s="48">
        <f t="shared" si="14"/>
        <v>75</v>
      </c>
      <c r="C78" s="36" t="s">
        <v>195</v>
      </c>
      <c r="D78" s="86">
        <v>44106</v>
      </c>
      <c r="E78" s="36" t="s">
        <v>82</v>
      </c>
      <c r="F78" s="36" t="s">
        <v>39</v>
      </c>
      <c r="G78" s="70" t="s">
        <v>70</v>
      </c>
      <c r="H78" s="70">
        <v>1000</v>
      </c>
      <c r="I78" s="74" t="s">
        <v>131</v>
      </c>
      <c r="J78" s="36" t="s">
        <v>118</v>
      </c>
      <c r="K78" s="70">
        <v>3</v>
      </c>
      <c r="L78" s="47" t="s">
        <v>15</v>
      </c>
      <c r="M78" s="12">
        <v>5.99</v>
      </c>
      <c r="N78" s="38">
        <v>2</v>
      </c>
      <c r="O78" s="39">
        <v>1.92</v>
      </c>
      <c r="P78" s="38">
        <v>2.1459340659340658</v>
      </c>
      <c r="Q78" s="55">
        <f t="shared" si="27"/>
        <v>0</v>
      </c>
      <c r="R78" s="57">
        <f t="shared" si="59"/>
        <v>26.459999999999994</v>
      </c>
      <c r="S78" s="113"/>
    </row>
    <row r="79" spans="2:20" outlineLevel="1" x14ac:dyDescent="0.2">
      <c r="B79" s="48">
        <f t="shared" si="14"/>
        <v>76</v>
      </c>
      <c r="C79" s="36" t="s">
        <v>196</v>
      </c>
      <c r="D79" s="86">
        <v>44106</v>
      </c>
      <c r="E79" s="36" t="s">
        <v>82</v>
      </c>
      <c r="F79" s="36" t="s">
        <v>39</v>
      </c>
      <c r="G79" s="70" t="s">
        <v>70</v>
      </c>
      <c r="H79" s="70">
        <v>1000</v>
      </c>
      <c r="I79" s="74" t="s">
        <v>131</v>
      </c>
      <c r="J79" s="36" t="s">
        <v>118</v>
      </c>
      <c r="K79" s="70">
        <v>2</v>
      </c>
      <c r="L79" s="47" t="s">
        <v>69</v>
      </c>
      <c r="M79" s="12">
        <v>5</v>
      </c>
      <c r="N79" s="38">
        <v>2.4949999999999997</v>
      </c>
      <c r="O79" s="39">
        <v>1.71</v>
      </c>
      <c r="P79" s="38">
        <v>0</v>
      </c>
      <c r="Q79" s="55">
        <f t="shared" si="27"/>
        <v>-2.5</v>
      </c>
      <c r="R79" s="57">
        <f t="shared" si="59"/>
        <v>23.959999999999994</v>
      </c>
      <c r="S79" s="113"/>
    </row>
    <row r="80" spans="2:20" outlineLevel="1" collapsed="1" x14ac:dyDescent="0.2">
      <c r="B80" s="48">
        <f t="shared" si="14"/>
        <v>77</v>
      </c>
      <c r="C80" s="36" t="s">
        <v>167</v>
      </c>
      <c r="D80" s="86">
        <v>44107</v>
      </c>
      <c r="E80" s="36" t="s">
        <v>34</v>
      </c>
      <c r="F80" s="36" t="s">
        <v>32</v>
      </c>
      <c r="G80" s="70" t="s">
        <v>177</v>
      </c>
      <c r="H80" s="70">
        <v>1800</v>
      </c>
      <c r="I80" s="74" t="s">
        <v>131</v>
      </c>
      <c r="J80" s="36" t="s">
        <v>118</v>
      </c>
      <c r="K80" s="70">
        <v>8</v>
      </c>
      <c r="L80" s="47" t="s">
        <v>203</v>
      </c>
      <c r="M80" s="12">
        <v>26.56</v>
      </c>
      <c r="N80" s="38">
        <v>0.39235294117647057</v>
      </c>
      <c r="O80" s="39">
        <v>5.56</v>
      </c>
      <c r="P80" s="38">
        <v>7.999999999999996E-2</v>
      </c>
      <c r="Q80" s="55">
        <f t="shared" si="27"/>
        <v>-0.5</v>
      </c>
      <c r="R80" s="57">
        <f t="shared" ref="R80" si="60">Q80+R79</f>
        <v>23.459999999999994</v>
      </c>
      <c r="S80" s="113"/>
    </row>
    <row r="81" spans="2:42" outlineLevel="1" x14ac:dyDescent="0.2">
      <c r="B81" s="48">
        <f t="shared" si="14"/>
        <v>78</v>
      </c>
      <c r="C81" s="36" t="s">
        <v>201</v>
      </c>
      <c r="D81" s="86">
        <v>44107</v>
      </c>
      <c r="E81" s="36" t="s">
        <v>51</v>
      </c>
      <c r="F81" s="36" t="s">
        <v>39</v>
      </c>
      <c r="G81" s="70" t="s">
        <v>70</v>
      </c>
      <c r="H81" s="70">
        <v>1000</v>
      </c>
      <c r="I81" s="74" t="s">
        <v>131</v>
      </c>
      <c r="J81" s="36" t="s">
        <v>179</v>
      </c>
      <c r="K81" s="70">
        <v>1</v>
      </c>
      <c r="L81" s="47" t="s">
        <v>12</v>
      </c>
      <c r="M81" s="12">
        <v>3.78</v>
      </c>
      <c r="N81" s="38">
        <v>3.5888888888888886</v>
      </c>
      <c r="O81" s="39">
        <v>1.62</v>
      </c>
      <c r="P81" s="38">
        <v>0</v>
      </c>
      <c r="Q81" s="55">
        <f t="shared" si="27"/>
        <v>10</v>
      </c>
      <c r="R81" s="57">
        <f t="shared" ref="R81:R85" si="61">Q81+R80</f>
        <v>33.459999999999994</v>
      </c>
      <c r="S81" s="113"/>
    </row>
    <row r="82" spans="2:42" outlineLevel="1" x14ac:dyDescent="0.2">
      <c r="B82" s="48">
        <f t="shared" si="14"/>
        <v>79</v>
      </c>
      <c r="C82" s="36" t="s">
        <v>202</v>
      </c>
      <c r="D82" s="86">
        <v>44108</v>
      </c>
      <c r="E82" s="36" t="s">
        <v>33</v>
      </c>
      <c r="F82" s="36" t="s">
        <v>39</v>
      </c>
      <c r="G82" s="70" t="s">
        <v>70</v>
      </c>
      <c r="H82" s="70">
        <v>1600</v>
      </c>
      <c r="I82" s="74" t="s">
        <v>130</v>
      </c>
      <c r="J82" s="36" t="s">
        <v>118</v>
      </c>
      <c r="K82" s="70">
        <v>3</v>
      </c>
      <c r="L82" s="47" t="s">
        <v>111</v>
      </c>
      <c r="M82" s="12">
        <v>15.76</v>
      </c>
      <c r="N82" s="38">
        <v>0.67679245283018885</v>
      </c>
      <c r="O82" s="39">
        <v>4.5</v>
      </c>
      <c r="P82" s="38">
        <v>0.19000000000000003</v>
      </c>
      <c r="Q82" s="55">
        <f t="shared" si="27"/>
        <v>-0.9</v>
      </c>
      <c r="R82" s="57">
        <f t="shared" si="61"/>
        <v>32.559999999999995</v>
      </c>
      <c r="S82" s="113"/>
    </row>
    <row r="83" spans="2:42" outlineLevel="1" x14ac:dyDescent="0.2">
      <c r="B83" s="48">
        <f t="shared" si="14"/>
        <v>80</v>
      </c>
      <c r="C83" s="36" t="s">
        <v>83</v>
      </c>
      <c r="D83" s="86">
        <v>44108</v>
      </c>
      <c r="E83" s="36" t="s">
        <v>38</v>
      </c>
      <c r="F83" s="36" t="s">
        <v>13</v>
      </c>
      <c r="G83" s="70" t="s">
        <v>70</v>
      </c>
      <c r="H83" s="70">
        <v>1200</v>
      </c>
      <c r="I83" s="74" t="s">
        <v>130</v>
      </c>
      <c r="J83" s="36" t="s">
        <v>118</v>
      </c>
      <c r="K83" s="70">
        <v>2</v>
      </c>
      <c r="L83" s="47" t="s">
        <v>12</v>
      </c>
      <c r="M83" s="12">
        <v>3.12</v>
      </c>
      <c r="N83" s="38">
        <v>4.7223529411764709</v>
      </c>
      <c r="O83" s="39">
        <v>1.41</v>
      </c>
      <c r="P83" s="38">
        <v>0</v>
      </c>
      <c r="Q83" s="55">
        <f t="shared" si="27"/>
        <v>10</v>
      </c>
      <c r="R83" s="57">
        <f t="shared" si="61"/>
        <v>42.559999999999995</v>
      </c>
      <c r="S83" s="113"/>
    </row>
    <row r="84" spans="2:42" outlineLevel="1" x14ac:dyDescent="0.2">
      <c r="B84" s="48">
        <f t="shared" si="14"/>
        <v>81</v>
      </c>
      <c r="C84" s="36" t="s">
        <v>158</v>
      </c>
      <c r="D84" s="86">
        <v>44108</v>
      </c>
      <c r="E84" s="36" t="s">
        <v>38</v>
      </c>
      <c r="F84" s="36" t="s">
        <v>52</v>
      </c>
      <c r="G84" s="70" t="s">
        <v>72</v>
      </c>
      <c r="H84" s="70">
        <v>1200</v>
      </c>
      <c r="I84" s="74" t="s">
        <v>130</v>
      </c>
      <c r="J84" s="36" t="s">
        <v>118</v>
      </c>
      <c r="K84" s="70">
        <v>2</v>
      </c>
      <c r="L84" s="47" t="s">
        <v>12</v>
      </c>
      <c r="M84" s="12">
        <v>2.04</v>
      </c>
      <c r="N84" s="38">
        <v>9.6557575757575744</v>
      </c>
      <c r="O84" s="39">
        <v>1.19</v>
      </c>
      <c r="P84" s="38">
        <v>0</v>
      </c>
      <c r="Q84" s="55">
        <f t="shared" si="27"/>
        <v>10</v>
      </c>
      <c r="R84" s="57">
        <f t="shared" si="61"/>
        <v>52.559999999999995</v>
      </c>
      <c r="S84" s="113"/>
    </row>
    <row r="85" spans="2:42" outlineLevel="1" x14ac:dyDescent="0.2">
      <c r="B85" s="48">
        <f t="shared" si="14"/>
        <v>82</v>
      </c>
      <c r="C85" s="36" t="s">
        <v>184</v>
      </c>
      <c r="D85" s="86">
        <v>44109</v>
      </c>
      <c r="E85" s="36" t="s">
        <v>31</v>
      </c>
      <c r="F85" s="36" t="s">
        <v>39</v>
      </c>
      <c r="G85" s="70" t="s">
        <v>70</v>
      </c>
      <c r="H85" s="70">
        <v>1200</v>
      </c>
      <c r="I85" s="74" t="s">
        <v>131</v>
      </c>
      <c r="J85" s="36" t="s">
        <v>118</v>
      </c>
      <c r="K85" s="70">
        <v>6</v>
      </c>
      <c r="L85" s="47" t="s">
        <v>15</v>
      </c>
      <c r="M85" s="12">
        <v>1.96</v>
      </c>
      <c r="N85" s="38">
        <v>10.430733137829911</v>
      </c>
      <c r="O85" s="39">
        <v>1.1599999999999999</v>
      </c>
      <c r="P85" s="38">
        <v>0</v>
      </c>
      <c r="Q85" s="55">
        <f t="shared" si="27"/>
        <v>-10.4</v>
      </c>
      <c r="R85" s="57">
        <f t="shared" si="61"/>
        <v>42.16</v>
      </c>
      <c r="S85" s="113"/>
    </row>
    <row r="86" spans="2:42" outlineLevel="1" x14ac:dyDescent="0.2">
      <c r="B86" s="48">
        <f t="shared" si="14"/>
        <v>83</v>
      </c>
      <c r="C86" s="36" t="s">
        <v>190</v>
      </c>
      <c r="D86" s="86">
        <v>44110</v>
      </c>
      <c r="E86" s="36" t="s">
        <v>59</v>
      </c>
      <c r="F86" s="36" t="s">
        <v>37</v>
      </c>
      <c r="G86" s="70" t="s">
        <v>70</v>
      </c>
      <c r="H86" s="70">
        <v>1000</v>
      </c>
      <c r="I86" s="74" t="s">
        <v>131</v>
      </c>
      <c r="J86" s="36" t="s">
        <v>118</v>
      </c>
      <c r="K86" s="70">
        <v>2</v>
      </c>
      <c r="L86" s="47" t="s">
        <v>76</v>
      </c>
      <c r="M86" s="12">
        <v>3.08</v>
      </c>
      <c r="N86" s="38">
        <v>4.8278787878787872</v>
      </c>
      <c r="O86" s="39">
        <v>1.39</v>
      </c>
      <c r="P86" s="38">
        <v>0</v>
      </c>
      <c r="Q86" s="55">
        <f t="shared" si="27"/>
        <v>-4.8</v>
      </c>
      <c r="R86" s="57">
        <f t="shared" ref="R86" si="62">Q86+R85</f>
        <v>37.36</v>
      </c>
      <c r="S86" s="113"/>
    </row>
    <row r="87" spans="2:42" outlineLevel="1" x14ac:dyDescent="0.2">
      <c r="B87" s="48">
        <f t="shared" si="14"/>
        <v>84</v>
      </c>
      <c r="C87" s="36" t="s">
        <v>206</v>
      </c>
      <c r="D87" s="86">
        <v>44111</v>
      </c>
      <c r="E87" s="36" t="s">
        <v>44</v>
      </c>
      <c r="F87" s="36" t="s">
        <v>28</v>
      </c>
      <c r="G87" s="70" t="s">
        <v>70</v>
      </c>
      <c r="H87" s="70">
        <v>1000</v>
      </c>
      <c r="I87" s="74" t="s">
        <v>131</v>
      </c>
      <c r="J87" s="36" t="s">
        <v>118</v>
      </c>
      <c r="K87" s="70">
        <v>5</v>
      </c>
      <c r="L87" s="47" t="s">
        <v>12</v>
      </c>
      <c r="M87" s="12">
        <v>3.2</v>
      </c>
      <c r="N87" s="38">
        <v>4.5326007326007325</v>
      </c>
      <c r="O87" s="39">
        <v>1.55</v>
      </c>
      <c r="P87" s="38">
        <v>0</v>
      </c>
      <c r="Q87" s="55">
        <f>ROUND(IF(OR($L87="1st",$L87="WON"),($M87*$N87)+($O87*$P87),IF(OR($L87="2nd",$L87="3rd"),IF($O87="NTD",0,($O87*$P87))))-($N87+$P87),1)</f>
        <v>10</v>
      </c>
      <c r="R87" s="57">
        <f t="shared" ref="R87" si="63">Q87+R86</f>
        <v>47.36</v>
      </c>
      <c r="S87" s="113"/>
    </row>
    <row r="88" spans="2:42" outlineLevel="1" x14ac:dyDescent="0.2">
      <c r="B88" s="48">
        <f t="shared" si="14"/>
        <v>85</v>
      </c>
      <c r="C88" s="36" t="s">
        <v>207</v>
      </c>
      <c r="D88" s="86">
        <v>44113</v>
      </c>
      <c r="E88" s="36" t="s">
        <v>35</v>
      </c>
      <c r="F88" s="36" t="s">
        <v>28</v>
      </c>
      <c r="G88" s="70" t="s">
        <v>70</v>
      </c>
      <c r="H88" s="70">
        <v>1000</v>
      </c>
      <c r="I88" s="74" t="s">
        <v>128</v>
      </c>
      <c r="J88" s="36" t="s">
        <v>118</v>
      </c>
      <c r="K88" s="70">
        <v>3</v>
      </c>
      <c r="L88" s="47" t="s">
        <v>11</v>
      </c>
      <c r="M88" s="12">
        <v>1.76</v>
      </c>
      <c r="N88" s="38" t="s">
        <v>41</v>
      </c>
      <c r="O88" s="39">
        <v>1.3</v>
      </c>
      <c r="P88" s="38" t="s">
        <v>41</v>
      </c>
      <c r="Q88" s="55">
        <v>0</v>
      </c>
      <c r="R88" s="57">
        <f t="shared" ref="R88" si="64">Q88+R87</f>
        <v>47.36</v>
      </c>
      <c r="S88" s="113"/>
    </row>
    <row r="89" spans="2:42" s="95" customFormat="1" outlineLevel="1" x14ac:dyDescent="0.2">
      <c r="B89" s="48">
        <f t="shared" si="14"/>
        <v>86</v>
      </c>
      <c r="C89" s="36" t="s">
        <v>104</v>
      </c>
      <c r="D89" s="86">
        <v>44113</v>
      </c>
      <c r="E89" s="36" t="s">
        <v>35</v>
      </c>
      <c r="F89" s="36" t="s">
        <v>28</v>
      </c>
      <c r="G89" s="70" t="s">
        <v>70</v>
      </c>
      <c r="H89" s="70">
        <v>1000</v>
      </c>
      <c r="I89" s="74" t="s">
        <v>128</v>
      </c>
      <c r="J89" s="36" t="s">
        <v>118</v>
      </c>
      <c r="K89" s="70">
        <v>4</v>
      </c>
      <c r="L89" s="47" t="s">
        <v>12</v>
      </c>
      <c r="M89" s="12">
        <v>5.33</v>
      </c>
      <c r="N89" s="38">
        <v>2.3147058823529414</v>
      </c>
      <c r="O89" s="39">
        <v>2.12</v>
      </c>
      <c r="P89" s="38">
        <v>2.0355555555555558</v>
      </c>
      <c r="Q89" s="55">
        <f>ROUND(IF(OR($L89="1st",$L89="WON"),($M89*$N89)+($O89*$P89),IF(OR($L89="2nd",$L89="3rd"),IF($O89="NTD",0,($O89*$P89))))-($N89+$P89),1)</f>
        <v>12.3</v>
      </c>
      <c r="R89" s="57">
        <f t="shared" ref="R89" si="65">Q89+R88</f>
        <v>59.66</v>
      </c>
      <c r="S89" s="12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</row>
    <row r="90" spans="2:42" s="95" customFormat="1" outlineLevel="1" x14ac:dyDescent="0.2">
      <c r="B90" s="48">
        <f t="shared" si="14"/>
        <v>87</v>
      </c>
      <c r="C90" s="36" t="s">
        <v>195</v>
      </c>
      <c r="D90" s="86">
        <v>44120</v>
      </c>
      <c r="E90" s="36" t="s">
        <v>17</v>
      </c>
      <c r="F90" s="36" t="s">
        <v>39</v>
      </c>
      <c r="G90" s="70" t="s">
        <v>70</v>
      </c>
      <c r="H90" s="70">
        <v>1100</v>
      </c>
      <c r="I90" s="74" t="s">
        <v>130</v>
      </c>
      <c r="J90" s="36" t="s">
        <v>118</v>
      </c>
      <c r="K90" s="70">
        <v>13</v>
      </c>
      <c r="L90" s="47" t="s">
        <v>86</v>
      </c>
      <c r="M90" s="12">
        <v>9.82</v>
      </c>
      <c r="N90" s="38">
        <v>1.1325308641975309</v>
      </c>
      <c r="O90" s="39">
        <v>3.35</v>
      </c>
      <c r="P90" s="38">
        <v>0.48444444444444401</v>
      </c>
      <c r="Q90" s="55">
        <f t="shared" si="27"/>
        <v>-1.6</v>
      </c>
      <c r="R90" s="57">
        <f t="shared" ref="R90" si="66">Q90+R89</f>
        <v>58.059999999999995</v>
      </c>
      <c r="S90" s="12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</row>
    <row r="91" spans="2:42" s="95" customFormat="1" outlineLevel="1" x14ac:dyDescent="0.2">
      <c r="B91" s="48">
        <f t="shared" si="14"/>
        <v>88</v>
      </c>
      <c r="C91" s="36" t="s">
        <v>98</v>
      </c>
      <c r="D91" s="86">
        <v>44120</v>
      </c>
      <c r="E91" s="36" t="s">
        <v>49</v>
      </c>
      <c r="F91" s="36" t="s">
        <v>28</v>
      </c>
      <c r="G91" s="70" t="s">
        <v>70</v>
      </c>
      <c r="H91" s="70">
        <v>1000</v>
      </c>
      <c r="I91" s="74" t="s">
        <v>130</v>
      </c>
      <c r="J91" s="36" t="s">
        <v>118</v>
      </c>
      <c r="K91" s="70">
        <v>8</v>
      </c>
      <c r="L91" s="47" t="s">
        <v>11</v>
      </c>
      <c r="M91" s="12">
        <v>5.04</v>
      </c>
      <c r="N91" s="38">
        <v>2.4705681818181815</v>
      </c>
      <c r="O91" s="39">
        <v>1.97</v>
      </c>
      <c r="P91" s="38">
        <v>2.5276190476190479</v>
      </c>
      <c r="Q91" s="55">
        <f t="shared" si="27"/>
        <v>0</v>
      </c>
      <c r="R91" s="57">
        <f>Q91+R90</f>
        <v>58.059999999999995</v>
      </c>
      <c r="S91" s="12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</row>
    <row r="92" spans="2:42" outlineLevel="1" x14ac:dyDescent="0.2">
      <c r="B92" s="48">
        <f t="shared" si="14"/>
        <v>89</v>
      </c>
      <c r="C92" s="36" t="s">
        <v>157</v>
      </c>
      <c r="D92" s="86">
        <v>44120</v>
      </c>
      <c r="E92" s="36" t="s">
        <v>49</v>
      </c>
      <c r="F92" s="36" t="s">
        <v>39</v>
      </c>
      <c r="G92" s="70" t="s">
        <v>70</v>
      </c>
      <c r="H92" s="70">
        <v>1200</v>
      </c>
      <c r="I92" s="74" t="s">
        <v>130</v>
      </c>
      <c r="J92" s="36" t="s">
        <v>118</v>
      </c>
      <c r="K92" s="70">
        <v>2</v>
      </c>
      <c r="L92" s="47" t="s">
        <v>76</v>
      </c>
      <c r="M92" s="12">
        <v>4.4000000000000004</v>
      </c>
      <c r="N92" s="38">
        <v>2.9316701607267643</v>
      </c>
      <c r="O92" s="39">
        <v>1.77</v>
      </c>
      <c r="P92" s="38">
        <v>0</v>
      </c>
      <c r="Q92" s="55">
        <f t="shared" si="27"/>
        <v>-2.9</v>
      </c>
      <c r="R92" s="57">
        <f t="shared" ref="R92" si="67">Q92+R91</f>
        <v>55.16</v>
      </c>
      <c r="S92" s="113"/>
    </row>
    <row r="93" spans="2:42" outlineLevel="1" x14ac:dyDescent="0.2">
      <c r="B93" s="48">
        <f t="shared" si="14"/>
        <v>90</v>
      </c>
      <c r="C93" s="36" t="s">
        <v>210</v>
      </c>
      <c r="D93" s="86">
        <v>44121</v>
      </c>
      <c r="E93" s="36" t="s">
        <v>92</v>
      </c>
      <c r="F93" s="36" t="s">
        <v>28</v>
      </c>
      <c r="G93" s="70" t="s">
        <v>70</v>
      </c>
      <c r="H93" s="70">
        <v>1200</v>
      </c>
      <c r="I93" s="74" t="s">
        <v>130</v>
      </c>
      <c r="J93" s="36" t="s">
        <v>118</v>
      </c>
      <c r="K93" s="70">
        <v>4</v>
      </c>
      <c r="L93" s="47" t="s">
        <v>12</v>
      </c>
      <c r="M93" s="12">
        <v>2.2799999999999998</v>
      </c>
      <c r="N93" s="38">
        <v>7.8351219512195129</v>
      </c>
      <c r="O93" s="39">
        <v>1.26</v>
      </c>
      <c r="P93" s="38">
        <v>0</v>
      </c>
      <c r="Q93" s="55">
        <f t="shared" si="27"/>
        <v>10</v>
      </c>
      <c r="R93" s="57">
        <f t="shared" ref="R93" si="68">Q93+R92</f>
        <v>65.16</v>
      </c>
      <c r="S93" s="113"/>
    </row>
    <row r="94" spans="2:42" outlineLevel="1" x14ac:dyDescent="0.2">
      <c r="B94" s="48">
        <f t="shared" si="14"/>
        <v>91</v>
      </c>
      <c r="C94" s="36" t="s">
        <v>214</v>
      </c>
      <c r="D94" s="86">
        <v>44123</v>
      </c>
      <c r="E94" s="36" t="s">
        <v>43</v>
      </c>
      <c r="F94" s="36" t="s">
        <v>13</v>
      </c>
      <c r="G94" s="70" t="s">
        <v>70</v>
      </c>
      <c r="H94" s="70">
        <v>1200</v>
      </c>
      <c r="I94" s="74" t="s">
        <v>130</v>
      </c>
      <c r="J94" s="36" t="s">
        <v>118</v>
      </c>
      <c r="K94" s="70">
        <v>5</v>
      </c>
      <c r="L94" s="47" t="s">
        <v>12</v>
      </c>
      <c r="M94" s="12">
        <v>1.66</v>
      </c>
      <c r="N94" s="38">
        <v>15.213414932680537</v>
      </c>
      <c r="O94" s="39">
        <v>1.1200000000000001</v>
      </c>
      <c r="P94" s="38">
        <v>0</v>
      </c>
      <c r="Q94" s="55">
        <f t="shared" si="27"/>
        <v>10</v>
      </c>
      <c r="R94" s="57">
        <f t="shared" ref="R94" si="69">Q94+R93</f>
        <v>75.16</v>
      </c>
      <c r="S94" s="113"/>
    </row>
    <row r="95" spans="2:42" outlineLevel="1" x14ac:dyDescent="0.2">
      <c r="B95" s="48">
        <f t="shared" si="14"/>
        <v>92</v>
      </c>
      <c r="C95" s="36" t="s">
        <v>216</v>
      </c>
      <c r="D95" s="86">
        <v>44124</v>
      </c>
      <c r="E95" s="36" t="s">
        <v>60</v>
      </c>
      <c r="F95" s="36" t="s">
        <v>28</v>
      </c>
      <c r="G95" s="70" t="s">
        <v>70</v>
      </c>
      <c r="H95" s="70">
        <v>1200</v>
      </c>
      <c r="I95" s="74" t="s">
        <v>130</v>
      </c>
      <c r="J95" s="36" t="s">
        <v>118</v>
      </c>
      <c r="K95" s="70">
        <v>2</v>
      </c>
      <c r="L95" s="47" t="s">
        <v>11</v>
      </c>
      <c r="M95" s="12">
        <v>2.7</v>
      </c>
      <c r="N95" s="38">
        <v>5.8633403214535287</v>
      </c>
      <c r="O95" s="39">
        <v>1.43</v>
      </c>
      <c r="P95" s="38">
        <v>0</v>
      </c>
      <c r="Q95" s="55">
        <f t="shared" si="27"/>
        <v>-5.9</v>
      </c>
      <c r="R95" s="57">
        <f t="shared" ref="R95" si="70">Q95+R94</f>
        <v>69.259999999999991</v>
      </c>
      <c r="S95" s="113"/>
    </row>
    <row r="96" spans="2:42" outlineLevel="1" x14ac:dyDescent="0.2">
      <c r="B96" s="48">
        <f t="shared" si="14"/>
        <v>93</v>
      </c>
      <c r="C96" s="36" t="s">
        <v>217</v>
      </c>
      <c r="D96" s="86">
        <v>44126</v>
      </c>
      <c r="E96" s="36" t="s">
        <v>35</v>
      </c>
      <c r="F96" s="36" t="s">
        <v>13</v>
      </c>
      <c r="G96" s="70" t="s">
        <v>70</v>
      </c>
      <c r="H96" s="70">
        <v>1200</v>
      </c>
      <c r="I96" s="74" t="s">
        <v>131</v>
      </c>
      <c r="J96" s="36" t="s">
        <v>118</v>
      </c>
      <c r="K96" s="70">
        <v>10</v>
      </c>
      <c r="L96" s="47" t="s">
        <v>11</v>
      </c>
      <c r="M96" s="12">
        <v>3.05</v>
      </c>
      <c r="N96" s="38">
        <v>4.8763636363636369</v>
      </c>
      <c r="O96" s="39">
        <v>1.46</v>
      </c>
      <c r="P96" s="38">
        <v>0</v>
      </c>
      <c r="Q96" s="55">
        <f t="shared" si="27"/>
        <v>-4.9000000000000004</v>
      </c>
      <c r="R96" s="57">
        <f t="shared" ref="R96" si="71">Q96+R95</f>
        <v>64.359999999999985</v>
      </c>
      <c r="S96" s="113"/>
    </row>
    <row r="97" spans="2:19" outlineLevel="1" x14ac:dyDescent="0.2">
      <c r="B97" s="48">
        <f t="shared" si="14"/>
        <v>94</v>
      </c>
      <c r="C97" s="36" t="s">
        <v>58</v>
      </c>
      <c r="D97" s="86">
        <v>44126</v>
      </c>
      <c r="E97" s="36" t="s">
        <v>35</v>
      </c>
      <c r="F97" s="36" t="s">
        <v>16</v>
      </c>
      <c r="G97" s="70" t="s">
        <v>72</v>
      </c>
      <c r="H97" s="70">
        <v>1200</v>
      </c>
      <c r="I97" s="74" t="s">
        <v>131</v>
      </c>
      <c r="J97" s="36" t="s">
        <v>118</v>
      </c>
      <c r="K97" s="70">
        <v>10</v>
      </c>
      <c r="L97" s="47" t="s">
        <v>66</v>
      </c>
      <c r="M97" s="12">
        <v>15</v>
      </c>
      <c r="N97" s="38">
        <v>0.71714285714285708</v>
      </c>
      <c r="O97" s="39">
        <v>3.13</v>
      </c>
      <c r="P97" s="38">
        <v>0.32800000000000001</v>
      </c>
      <c r="Q97" s="55">
        <f t="shared" si="27"/>
        <v>-1</v>
      </c>
      <c r="R97" s="57">
        <f t="shared" ref="R97" si="72">Q97+R96</f>
        <v>63.359999999999985</v>
      </c>
      <c r="S97" s="113"/>
    </row>
    <row r="98" spans="2:19" outlineLevel="1" x14ac:dyDescent="0.2">
      <c r="B98" s="48">
        <f t="shared" si="14"/>
        <v>95</v>
      </c>
      <c r="C98" s="36" t="s">
        <v>219</v>
      </c>
      <c r="D98" s="86">
        <v>44127</v>
      </c>
      <c r="E98" s="36" t="s">
        <v>14</v>
      </c>
      <c r="F98" s="36" t="s">
        <v>28</v>
      </c>
      <c r="G98" s="70" t="s">
        <v>70</v>
      </c>
      <c r="H98" s="70">
        <v>1200</v>
      </c>
      <c r="I98" s="74" t="s">
        <v>131</v>
      </c>
      <c r="J98" s="36" t="s">
        <v>118</v>
      </c>
      <c r="K98" s="70">
        <v>10</v>
      </c>
      <c r="L98" s="47" t="s">
        <v>11</v>
      </c>
      <c r="M98" s="12">
        <v>6.37</v>
      </c>
      <c r="N98" s="38">
        <v>1.8634883720930233</v>
      </c>
      <c r="O98" s="39">
        <v>2.12</v>
      </c>
      <c r="P98" s="38">
        <v>0</v>
      </c>
      <c r="Q98" s="55">
        <f t="shared" si="27"/>
        <v>-1.9</v>
      </c>
      <c r="R98" s="57">
        <f t="shared" ref="R98" si="73">Q98+R97</f>
        <v>61.459999999999987</v>
      </c>
      <c r="S98" s="113"/>
    </row>
    <row r="99" spans="2:19" outlineLevel="1" x14ac:dyDescent="0.2">
      <c r="B99" s="48">
        <f t="shared" si="14"/>
        <v>96</v>
      </c>
      <c r="C99" s="36" t="s">
        <v>221</v>
      </c>
      <c r="D99" s="86">
        <v>44127</v>
      </c>
      <c r="E99" s="36" t="s">
        <v>14</v>
      </c>
      <c r="F99" s="36" t="s">
        <v>28</v>
      </c>
      <c r="G99" s="70" t="s">
        <v>70</v>
      </c>
      <c r="H99" s="70">
        <v>1200</v>
      </c>
      <c r="I99" s="74" t="s">
        <v>131</v>
      </c>
      <c r="J99" s="36" t="s">
        <v>118</v>
      </c>
      <c r="K99" s="70">
        <v>3</v>
      </c>
      <c r="L99" s="47" t="s">
        <v>12</v>
      </c>
      <c r="M99" s="12">
        <v>3</v>
      </c>
      <c r="N99" s="38">
        <v>4.9899999999999993</v>
      </c>
      <c r="O99" s="39">
        <v>1.43</v>
      </c>
      <c r="P99" s="38">
        <v>0</v>
      </c>
      <c r="Q99" s="55">
        <f t="shared" si="27"/>
        <v>10</v>
      </c>
      <c r="R99" s="57">
        <f t="shared" ref="R99" si="74">Q99+R98</f>
        <v>71.45999999999998</v>
      </c>
      <c r="S99" s="113"/>
    </row>
    <row r="100" spans="2:19" outlineLevel="1" x14ac:dyDescent="0.2">
      <c r="B100" s="48">
        <f t="shared" si="14"/>
        <v>97</v>
      </c>
      <c r="C100" s="36" t="s">
        <v>220</v>
      </c>
      <c r="D100" s="86">
        <v>44127</v>
      </c>
      <c r="E100" s="36" t="s">
        <v>14</v>
      </c>
      <c r="F100" s="36" t="s">
        <v>28</v>
      </c>
      <c r="G100" s="70" t="s">
        <v>70</v>
      </c>
      <c r="H100" s="70">
        <v>1200</v>
      </c>
      <c r="I100" s="74" t="s">
        <v>131</v>
      </c>
      <c r="J100" s="36" t="s">
        <v>118</v>
      </c>
      <c r="K100" s="70">
        <v>4</v>
      </c>
      <c r="L100" s="47" t="s">
        <v>15</v>
      </c>
      <c r="M100" s="12">
        <v>7.33</v>
      </c>
      <c r="N100" s="38">
        <v>1.5727450980392157</v>
      </c>
      <c r="O100" s="39">
        <v>2.12</v>
      </c>
      <c r="P100" s="38">
        <v>0</v>
      </c>
      <c r="Q100" s="55">
        <f t="shared" si="27"/>
        <v>-1.6</v>
      </c>
      <c r="R100" s="57">
        <f t="shared" ref="R100" si="75">Q100+R99</f>
        <v>69.859999999999985</v>
      </c>
      <c r="S100" s="113"/>
    </row>
    <row r="101" spans="2:19" outlineLevel="1" x14ac:dyDescent="0.2">
      <c r="B101" s="48">
        <f t="shared" si="14"/>
        <v>98</v>
      </c>
      <c r="C101" s="36" t="s">
        <v>209</v>
      </c>
      <c r="D101" s="86">
        <v>44127</v>
      </c>
      <c r="E101" s="36" t="s">
        <v>14</v>
      </c>
      <c r="F101" s="36" t="s">
        <v>39</v>
      </c>
      <c r="G101" s="70" t="s">
        <v>70</v>
      </c>
      <c r="H101" s="70">
        <v>1200</v>
      </c>
      <c r="I101" s="74" t="s">
        <v>131</v>
      </c>
      <c r="J101" s="36" t="s">
        <v>118</v>
      </c>
      <c r="K101" s="70">
        <v>9</v>
      </c>
      <c r="L101" s="47" t="s">
        <v>12</v>
      </c>
      <c r="M101" s="12">
        <v>3.23</v>
      </c>
      <c r="N101" s="38">
        <v>4.4869172932330823</v>
      </c>
      <c r="O101" s="39">
        <v>1.39</v>
      </c>
      <c r="P101" s="38">
        <v>0</v>
      </c>
      <c r="Q101" s="55">
        <f t="shared" si="27"/>
        <v>10</v>
      </c>
      <c r="R101" s="57">
        <f t="shared" ref="R101" si="76">Q101+R100</f>
        <v>79.859999999999985</v>
      </c>
      <c r="S101" s="113"/>
    </row>
    <row r="102" spans="2:19" outlineLevel="1" x14ac:dyDescent="0.2">
      <c r="B102" s="48">
        <f t="shared" si="14"/>
        <v>99</v>
      </c>
      <c r="C102" s="36" t="s">
        <v>222</v>
      </c>
      <c r="D102" s="86">
        <v>44128</v>
      </c>
      <c r="E102" s="36" t="s">
        <v>80</v>
      </c>
      <c r="F102" s="36" t="s">
        <v>39</v>
      </c>
      <c r="G102" s="70" t="s">
        <v>70</v>
      </c>
      <c r="H102" s="70">
        <v>1000</v>
      </c>
      <c r="I102" s="74" t="s">
        <v>130</v>
      </c>
      <c r="J102" s="36" t="s">
        <v>118</v>
      </c>
      <c r="K102" s="70">
        <v>5</v>
      </c>
      <c r="L102" s="47" t="s">
        <v>15</v>
      </c>
      <c r="M102" s="12">
        <v>3.21</v>
      </c>
      <c r="N102" s="38">
        <v>4.5301234567901236</v>
      </c>
      <c r="O102" s="39">
        <v>1.42</v>
      </c>
      <c r="P102" s="38">
        <v>0</v>
      </c>
      <c r="Q102" s="55">
        <f t="shared" si="27"/>
        <v>-4.5</v>
      </c>
      <c r="R102" s="57">
        <f t="shared" ref="R102" si="77">Q102+R101</f>
        <v>75.359999999999985</v>
      </c>
      <c r="S102" s="113"/>
    </row>
    <row r="103" spans="2:19" outlineLevel="1" x14ac:dyDescent="0.2">
      <c r="B103" s="48">
        <f t="shared" si="14"/>
        <v>100</v>
      </c>
      <c r="C103" s="36" t="s">
        <v>226</v>
      </c>
      <c r="D103" s="86">
        <v>44129</v>
      </c>
      <c r="E103" s="36" t="s">
        <v>29</v>
      </c>
      <c r="F103" s="36" t="s">
        <v>28</v>
      </c>
      <c r="G103" s="70" t="s">
        <v>70</v>
      </c>
      <c r="H103" s="70">
        <v>1400</v>
      </c>
      <c r="I103" s="74" t="s">
        <v>132</v>
      </c>
      <c r="J103" s="36" t="s">
        <v>118</v>
      </c>
      <c r="K103" s="70">
        <v>5</v>
      </c>
      <c r="L103" s="47" t="s">
        <v>12</v>
      </c>
      <c r="M103" s="12">
        <v>1.87</v>
      </c>
      <c r="N103" s="38">
        <v>11.496352201257862</v>
      </c>
      <c r="O103" s="39">
        <v>1.1499999999999999</v>
      </c>
      <c r="P103" s="38">
        <v>0</v>
      </c>
      <c r="Q103" s="55">
        <f t="shared" si="27"/>
        <v>10</v>
      </c>
      <c r="R103" s="57">
        <f t="shared" ref="R103" si="78">Q103+R102</f>
        <v>85.359999999999985</v>
      </c>
      <c r="S103" s="113"/>
    </row>
    <row r="104" spans="2:19" outlineLevel="1" x14ac:dyDescent="0.2">
      <c r="B104" s="48">
        <f t="shared" si="14"/>
        <v>101</v>
      </c>
      <c r="C104" s="36" t="s">
        <v>81</v>
      </c>
      <c r="D104" s="86">
        <v>44130</v>
      </c>
      <c r="E104" s="36" t="s">
        <v>31</v>
      </c>
      <c r="F104" s="36" t="s">
        <v>50</v>
      </c>
      <c r="G104" s="70" t="s">
        <v>73</v>
      </c>
      <c r="H104" s="70">
        <v>1200</v>
      </c>
      <c r="I104" s="74" t="s">
        <v>130</v>
      </c>
      <c r="J104" s="36" t="s">
        <v>118</v>
      </c>
      <c r="K104" s="70">
        <v>4</v>
      </c>
      <c r="L104" s="47" t="s">
        <v>11</v>
      </c>
      <c r="M104" s="12">
        <v>9.5500000000000007</v>
      </c>
      <c r="N104" s="38">
        <v>1.1688235294117648</v>
      </c>
      <c r="O104" s="39">
        <v>2.62</v>
      </c>
      <c r="P104" s="38">
        <v>0.7088888888888889</v>
      </c>
      <c r="Q104" s="55">
        <f t="shared" ref="Q104:Q171" si="79">ROUND(IF(OR($L104="1st",$L104="WON"),($M104*$N104)+($O104*$P104),IF(OR($L104="2nd",$L104="3rd"),IF($O104="NTD",0,($O104*$P104))))-($N104+$P104),1)</f>
        <v>0</v>
      </c>
      <c r="R104" s="57">
        <f t="shared" ref="R104" si="80">Q104+R103</f>
        <v>85.359999999999985</v>
      </c>
      <c r="S104" s="113"/>
    </row>
    <row r="105" spans="2:19" outlineLevel="1" x14ac:dyDescent="0.2">
      <c r="B105" s="48">
        <f t="shared" si="14"/>
        <v>102</v>
      </c>
      <c r="C105" s="36" t="s">
        <v>233</v>
      </c>
      <c r="D105" s="86">
        <v>44130</v>
      </c>
      <c r="E105" s="36" t="s">
        <v>31</v>
      </c>
      <c r="F105" s="36" t="s">
        <v>52</v>
      </c>
      <c r="G105" s="70" t="s">
        <v>73</v>
      </c>
      <c r="H105" s="70">
        <v>1000</v>
      </c>
      <c r="I105" s="74" t="s">
        <v>130</v>
      </c>
      <c r="J105" s="36" t="s">
        <v>118</v>
      </c>
      <c r="K105" s="70">
        <v>3</v>
      </c>
      <c r="L105" s="47" t="s">
        <v>15</v>
      </c>
      <c r="M105" s="12">
        <v>3.96</v>
      </c>
      <c r="N105" s="38">
        <v>3.3944680851063831</v>
      </c>
      <c r="O105" s="39">
        <v>1.72</v>
      </c>
      <c r="P105" s="38">
        <v>4.7555555555555573</v>
      </c>
      <c r="Q105" s="55">
        <f t="shared" si="79"/>
        <v>0</v>
      </c>
      <c r="R105" s="57">
        <f t="shared" ref="R105" si="81">Q105+R104</f>
        <v>85.359999999999985</v>
      </c>
      <c r="S105" s="113"/>
    </row>
    <row r="106" spans="2:19" outlineLevel="1" x14ac:dyDescent="0.2">
      <c r="B106" s="48">
        <f t="shared" si="14"/>
        <v>103</v>
      </c>
      <c r="C106" s="36" t="s">
        <v>234</v>
      </c>
      <c r="D106" s="86">
        <v>44131</v>
      </c>
      <c r="E106" s="36" t="s">
        <v>36</v>
      </c>
      <c r="F106" s="36" t="s">
        <v>50</v>
      </c>
      <c r="G106" s="70" t="s">
        <v>73</v>
      </c>
      <c r="H106" s="70">
        <v>975</v>
      </c>
      <c r="I106" s="74" t="s">
        <v>131</v>
      </c>
      <c r="J106" s="36" t="s">
        <v>118</v>
      </c>
      <c r="K106" s="70">
        <v>4</v>
      </c>
      <c r="L106" s="47" t="s">
        <v>69</v>
      </c>
      <c r="M106" s="12">
        <v>9.4</v>
      </c>
      <c r="N106" s="38">
        <v>1.1926546003016592</v>
      </c>
      <c r="O106" s="39">
        <v>2.2400000000000002</v>
      </c>
      <c r="P106" s="38">
        <v>0.96799999999999997</v>
      </c>
      <c r="Q106" s="55">
        <f t="shared" si="79"/>
        <v>-2.2000000000000002</v>
      </c>
      <c r="R106" s="57">
        <f t="shared" ref="R106" si="82">Q106+R105</f>
        <v>83.159999999999982</v>
      </c>
      <c r="S106" s="113"/>
    </row>
    <row r="107" spans="2:19" outlineLevel="1" x14ac:dyDescent="0.2">
      <c r="B107" s="48">
        <f t="shared" si="14"/>
        <v>104</v>
      </c>
      <c r="C107" s="36" t="s">
        <v>236</v>
      </c>
      <c r="D107" s="86">
        <v>44132</v>
      </c>
      <c r="E107" s="36" t="s">
        <v>44</v>
      </c>
      <c r="F107" s="36" t="s">
        <v>39</v>
      </c>
      <c r="G107" s="70" t="s">
        <v>70</v>
      </c>
      <c r="H107" s="70">
        <v>1100</v>
      </c>
      <c r="I107" s="74" t="s">
        <v>131</v>
      </c>
      <c r="J107" s="36" t="s">
        <v>118</v>
      </c>
      <c r="K107" s="70">
        <v>5</v>
      </c>
      <c r="L107" s="47" t="s">
        <v>12</v>
      </c>
      <c r="M107" s="12">
        <v>3.64</v>
      </c>
      <c r="N107" s="38">
        <v>3.8033537331701344</v>
      </c>
      <c r="O107" s="39">
        <v>1.64</v>
      </c>
      <c r="P107" s="38">
        <v>0</v>
      </c>
      <c r="Q107" s="55">
        <f t="shared" si="79"/>
        <v>10</v>
      </c>
      <c r="R107" s="57">
        <f t="shared" ref="R107" si="83">Q107+R106</f>
        <v>93.159999999999982</v>
      </c>
      <c r="S107" s="113"/>
    </row>
    <row r="108" spans="2:19" outlineLevel="1" x14ac:dyDescent="0.2">
      <c r="B108" s="48">
        <f t="shared" si="14"/>
        <v>105</v>
      </c>
      <c r="C108" s="36" t="s">
        <v>105</v>
      </c>
      <c r="D108" s="86">
        <v>44132</v>
      </c>
      <c r="E108" s="36" t="s">
        <v>44</v>
      </c>
      <c r="F108" s="36" t="s">
        <v>39</v>
      </c>
      <c r="G108" s="70" t="s">
        <v>70</v>
      </c>
      <c r="H108" s="70">
        <v>1100</v>
      </c>
      <c r="I108" s="74" t="s">
        <v>131</v>
      </c>
      <c r="J108" s="36" t="s">
        <v>118</v>
      </c>
      <c r="K108" s="70">
        <v>2</v>
      </c>
      <c r="L108" s="47" t="s">
        <v>15</v>
      </c>
      <c r="M108" s="12">
        <v>4.8600000000000003</v>
      </c>
      <c r="N108" s="38">
        <v>2.5812903225806449</v>
      </c>
      <c r="O108" s="39">
        <v>1.83</v>
      </c>
      <c r="P108" s="38">
        <v>3.0685714285714285</v>
      </c>
      <c r="Q108" s="55">
        <f t="shared" si="79"/>
        <v>0</v>
      </c>
      <c r="R108" s="57">
        <f t="shared" ref="R108" si="84">Q108+R107</f>
        <v>93.159999999999982</v>
      </c>
      <c r="S108" s="113"/>
    </row>
    <row r="109" spans="2:19" outlineLevel="1" x14ac:dyDescent="0.2">
      <c r="B109" s="48">
        <f t="shared" si="14"/>
        <v>106</v>
      </c>
      <c r="C109" s="36" t="s">
        <v>237</v>
      </c>
      <c r="D109" s="86">
        <v>44132</v>
      </c>
      <c r="E109" s="36" t="s">
        <v>44</v>
      </c>
      <c r="F109" s="36" t="s">
        <v>39</v>
      </c>
      <c r="G109" s="70" t="s">
        <v>70</v>
      </c>
      <c r="H109" s="70">
        <v>1100</v>
      </c>
      <c r="I109" s="74" t="s">
        <v>131</v>
      </c>
      <c r="J109" s="36" t="s">
        <v>118</v>
      </c>
      <c r="K109" s="70">
        <v>13</v>
      </c>
      <c r="L109" s="47" t="s">
        <v>76</v>
      </c>
      <c r="M109" s="12">
        <v>8</v>
      </c>
      <c r="N109" s="38">
        <v>1.4242857142857144</v>
      </c>
      <c r="O109" s="39">
        <v>2.6</v>
      </c>
      <c r="P109" s="38">
        <v>0.88</v>
      </c>
      <c r="Q109" s="55">
        <f t="shared" si="79"/>
        <v>-2.2999999999999998</v>
      </c>
      <c r="R109" s="57">
        <f t="shared" ref="R109" si="85">Q109+R108</f>
        <v>90.859999999999985</v>
      </c>
      <c r="S109" s="113"/>
    </row>
    <row r="110" spans="2:19" outlineLevel="1" x14ac:dyDescent="0.2">
      <c r="B110" s="48">
        <f t="shared" si="14"/>
        <v>107</v>
      </c>
      <c r="C110" s="36" t="s">
        <v>206</v>
      </c>
      <c r="D110" s="86">
        <v>44132</v>
      </c>
      <c r="E110" s="36" t="s">
        <v>44</v>
      </c>
      <c r="F110" s="36" t="s">
        <v>45</v>
      </c>
      <c r="G110" s="70" t="s">
        <v>72</v>
      </c>
      <c r="H110" s="70">
        <v>1300</v>
      </c>
      <c r="I110" s="74" t="s">
        <v>131</v>
      </c>
      <c r="J110" s="36" t="s">
        <v>118</v>
      </c>
      <c r="K110" s="70">
        <v>3</v>
      </c>
      <c r="L110" s="47" t="s">
        <v>69</v>
      </c>
      <c r="M110" s="12">
        <v>5.22</v>
      </c>
      <c r="N110" s="38">
        <v>2.3611764705882354</v>
      </c>
      <c r="O110" s="39">
        <v>2.0499999999999998</v>
      </c>
      <c r="P110" s="38">
        <v>2.2300000000000009</v>
      </c>
      <c r="Q110" s="55">
        <f t="shared" si="79"/>
        <v>-4.5999999999999996</v>
      </c>
      <c r="R110" s="57">
        <f t="shared" ref="R110" si="86">Q110+R109</f>
        <v>86.259999999999991</v>
      </c>
      <c r="S110" s="113"/>
    </row>
    <row r="111" spans="2:19" outlineLevel="1" x14ac:dyDescent="0.2">
      <c r="B111" s="48">
        <f t="shared" si="14"/>
        <v>108</v>
      </c>
      <c r="C111" s="36" t="s">
        <v>238</v>
      </c>
      <c r="D111" s="86">
        <v>44132</v>
      </c>
      <c r="E111" s="36" t="s">
        <v>44</v>
      </c>
      <c r="F111" s="36" t="s">
        <v>32</v>
      </c>
      <c r="G111" s="70" t="s">
        <v>75</v>
      </c>
      <c r="H111" s="70">
        <v>1400</v>
      </c>
      <c r="I111" s="74" t="s">
        <v>131</v>
      </c>
      <c r="J111" s="36" t="s">
        <v>118</v>
      </c>
      <c r="K111" s="70">
        <v>1</v>
      </c>
      <c r="L111" s="47" t="s">
        <v>68</v>
      </c>
      <c r="M111" s="12">
        <v>104.47</v>
      </c>
      <c r="N111" s="38">
        <v>9.7096774193548369E-2</v>
      </c>
      <c r="O111" s="39">
        <v>13.87</v>
      </c>
      <c r="P111" s="38">
        <v>0.01</v>
      </c>
      <c r="Q111" s="55">
        <f t="shared" si="79"/>
        <v>-0.1</v>
      </c>
      <c r="R111" s="57">
        <f t="shared" ref="R111" si="87">Q111+R110</f>
        <v>86.16</v>
      </c>
      <c r="S111" s="113"/>
    </row>
    <row r="112" spans="2:19" outlineLevel="1" x14ac:dyDescent="0.2">
      <c r="B112" s="48">
        <f t="shared" si="14"/>
        <v>109</v>
      </c>
      <c r="C112" s="36" t="s">
        <v>240</v>
      </c>
      <c r="D112" s="53">
        <v>44134</v>
      </c>
      <c r="E112" s="36" t="s">
        <v>88</v>
      </c>
      <c r="F112" s="74" t="s">
        <v>45</v>
      </c>
      <c r="G112" s="70" t="s">
        <v>73</v>
      </c>
      <c r="H112" s="70">
        <v>1450</v>
      </c>
      <c r="I112" s="74" t="s">
        <v>131</v>
      </c>
      <c r="J112" s="36" t="s">
        <v>118</v>
      </c>
      <c r="K112" s="70">
        <v>2</v>
      </c>
      <c r="L112" s="47" t="s">
        <v>12</v>
      </c>
      <c r="M112" s="12">
        <v>4.8</v>
      </c>
      <c r="N112" s="38">
        <v>2.6205673758865249</v>
      </c>
      <c r="O112" s="39">
        <v>2.2799999999999998</v>
      </c>
      <c r="P112" s="38">
        <v>2.08</v>
      </c>
      <c r="Q112" s="55">
        <f t="shared" si="79"/>
        <v>12.6</v>
      </c>
      <c r="R112" s="57">
        <f t="shared" ref="R112" si="88">Q112+R111</f>
        <v>98.759999999999991</v>
      </c>
      <c r="S112" s="113"/>
    </row>
    <row r="113" spans="2:19" outlineLevel="1" x14ac:dyDescent="0.2">
      <c r="B113" s="48">
        <f t="shared" si="14"/>
        <v>110</v>
      </c>
      <c r="C113" s="36" t="s">
        <v>107</v>
      </c>
      <c r="D113" s="53">
        <v>44134</v>
      </c>
      <c r="E113" s="36" t="s">
        <v>30</v>
      </c>
      <c r="F113" s="74" t="s">
        <v>13</v>
      </c>
      <c r="G113" s="70" t="s">
        <v>72</v>
      </c>
      <c r="H113" s="70">
        <v>1200</v>
      </c>
      <c r="I113" s="74" t="s">
        <v>131</v>
      </c>
      <c r="J113" s="36" t="s">
        <v>118</v>
      </c>
      <c r="K113" s="70">
        <v>3</v>
      </c>
      <c r="L113" s="47" t="s">
        <v>11</v>
      </c>
      <c r="M113" s="12">
        <v>6.56</v>
      </c>
      <c r="N113" s="38">
        <v>1.7944444444444443</v>
      </c>
      <c r="O113" s="39">
        <v>2.88</v>
      </c>
      <c r="P113" s="38">
        <v>0.95948051948051938</v>
      </c>
      <c r="Q113" s="55">
        <f t="shared" si="79"/>
        <v>0</v>
      </c>
      <c r="R113" s="57">
        <f t="shared" ref="R113" si="89">Q113+R112</f>
        <v>98.759999999999991</v>
      </c>
      <c r="S113" s="113"/>
    </row>
    <row r="114" spans="2:19" outlineLevel="1" x14ac:dyDescent="0.2">
      <c r="B114" s="48">
        <f t="shared" si="14"/>
        <v>111</v>
      </c>
      <c r="C114" s="36" t="s">
        <v>244</v>
      </c>
      <c r="D114" s="53">
        <v>44135</v>
      </c>
      <c r="E114" s="36" t="s">
        <v>63</v>
      </c>
      <c r="F114" s="74" t="s">
        <v>28</v>
      </c>
      <c r="G114" s="70" t="s">
        <v>70</v>
      </c>
      <c r="H114" s="70">
        <v>1100</v>
      </c>
      <c r="I114" s="74" t="s">
        <v>130</v>
      </c>
      <c r="J114" s="36" t="s">
        <v>118</v>
      </c>
      <c r="K114" s="70">
        <v>8</v>
      </c>
      <c r="L114" s="47" t="s">
        <v>11</v>
      </c>
      <c r="M114" s="12">
        <v>1.69</v>
      </c>
      <c r="N114" s="38">
        <v>14.552727272727271</v>
      </c>
      <c r="O114" s="39">
        <v>1.1299999999999999</v>
      </c>
      <c r="P114" s="38">
        <v>0</v>
      </c>
      <c r="Q114" s="55">
        <f t="shared" si="79"/>
        <v>-14.6</v>
      </c>
      <c r="R114" s="57">
        <f t="shared" ref="R114" si="90">Q114+R113</f>
        <v>84.16</v>
      </c>
      <c r="S114" s="113"/>
    </row>
    <row r="115" spans="2:19" outlineLevel="1" x14ac:dyDescent="0.2">
      <c r="B115" s="68">
        <f t="shared" si="14"/>
        <v>112</v>
      </c>
      <c r="C115" s="11" t="s">
        <v>247</v>
      </c>
      <c r="D115" s="54">
        <v>44135</v>
      </c>
      <c r="E115" s="11" t="s">
        <v>63</v>
      </c>
      <c r="F115" s="80" t="s">
        <v>13</v>
      </c>
      <c r="G115" s="71" t="s">
        <v>70</v>
      </c>
      <c r="H115" s="71">
        <v>1400</v>
      </c>
      <c r="I115" s="80" t="s">
        <v>130</v>
      </c>
      <c r="J115" s="11" t="s">
        <v>118</v>
      </c>
      <c r="K115" s="71">
        <v>2</v>
      </c>
      <c r="L115" s="49" t="s">
        <v>15</v>
      </c>
      <c r="M115" s="50">
        <v>2.86</v>
      </c>
      <c r="N115" s="51">
        <v>5.4011594202898543</v>
      </c>
      <c r="O115" s="52">
        <v>1.48</v>
      </c>
      <c r="P115" s="51">
        <v>0</v>
      </c>
      <c r="Q115" s="56">
        <f t="shared" si="79"/>
        <v>-5.4</v>
      </c>
      <c r="R115" s="64">
        <f t="shared" ref="R115:R116" si="91">Q115+R114</f>
        <v>78.759999999999991</v>
      </c>
      <c r="S115" s="113"/>
    </row>
    <row r="116" spans="2:19" outlineLevel="1" x14ac:dyDescent="0.2">
      <c r="B116" s="48">
        <f t="shared" si="14"/>
        <v>113</v>
      </c>
      <c r="C116" s="36" t="s">
        <v>94</v>
      </c>
      <c r="D116" s="86">
        <v>44136</v>
      </c>
      <c r="E116" s="36" t="s">
        <v>43</v>
      </c>
      <c r="F116" s="36" t="s">
        <v>32</v>
      </c>
      <c r="G116" s="70" t="s">
        <v>74</v>
      </c>
      <c r="H116" s="70">
        <v>1200</v>
      </c>
      <c r="I116" s="74" t="s">
        <v>131</v>
      </c>
      <c r="J116" s="36" t="s">
        <v>118</v>
      </c>
      <c r="K116" s="70">
        <v>8</v>
      </c>
      <c r="L116" s="47" t="s">
        <v>15</v>
      </c>
      <c r="M116" s="12">
        <v>3.61</v>
      </c>
      <c r="N116" s="38">
        <v>3.82</v>
      </c>
      <c r="O116" s="39">
        <v>1.69</v>
      </c>
      <c r="P116" s="38">
        <v>0</v>
      </c>
      <c r="Q116" s="55">
        <f t="shared" si="79"/>
        <v>-3.8</v>
      </c>
      <c r="R116" s="57">
        <f t="shared" si="91"/>
        <v>74.959999999999994</v>
      </c>
      <c r="S116" s="113"/>
    </row>
    <row r="117" spans="2:19" outlineLevel="1" collapsed="1" x14ac:dyDescent="0.2">
      <c r="B117" s="48">
        <f t="shared" si="14"/>
        <v>114</v>
      </c>
      <c r="C117" s="36" t="s">
        <v>248</v>
      </c>
      <c r="D117" s="53">
        <v>44137</v>
      </c>
      <c r="E117" s="36" t="s">
        <v>35</v>
      </c>
      <c r="F117" s="36" t="s">
        <v>28</v>
      </c>
      <c r="G117" s="70" t="s">
        <v>70</v>
      </c>
      <c r="H117" s="70">
        <v>1200</v>
      </c>
      <c r="I117" s="74" t="s">
        <v>131</v>
      </c>
      <c r="J117" s="36" t="s">
        <v>118</v>
      </c>
      <c r="K117" s="70">
        <v>4</v>
      </c>
      <c r="L117" s="47" t="s">
        <v>11</v>
      </c>
      <c r="M117" s="12">
        <v>2.48</v>
      </c>
      <c r="N117" s="38">
        <v>6.7889361702127662</v>
      </c>
      <c r="O117" s="39">
        <v>1.4</v>
      </c>
      <c r="P117" s="38">
        <v>0</v>
      </c>
      <c r="Q117" s="55">
        <f t="shared" si="79"/>
        <v>-6.8</v>
      </c>
      <c r="R117" s="57">
        <f t="shared" ref="R117" si="92">Q117+R116</f>
        <v>68.16</v>
      </c>
      <c r="S117" s="113"/>
    </row>
    <row r="118" spans="2:19" outlineLevel="1" x14ac:dyDescent="0.2">
      <c r="B118" s="48">
        <f t="shared" si="14"/>
        <v>115</v>
      </c>
      <c r="C118" s="36" t="s">
        <v>250</v>
      </c>
      <c r="D118" s="53">
        <v>44137</v>
      </c>
      <c r="E118" s="36" t="s">
        <v>35</v>
      </c>
      <c r="F118" s="36" t="s">
        <v>39</v>
      </c>
      <c r="G118" s="70" t="s">
        <v>70</v>
      </c>
      <c r="H118" s="70">
        <v>1200</v>
      </c>
      <c r="I118" s="74" t="s">
        <v>131</v>
      </c>
      <c r="J118" s="36" t="s">
        <v>118</v>
      </c>
      <c r="K118" s="70">
        <v>5</v>
      </c>
      <c r="L118" s="47" t="s">
        <v>15</v>
      </c>
      <c r="M118" s="12">
        <v>3.5</v>
      </c>
      <c r="N118" s="38">
        <v>3.9800000000000004</v>
      </c>
      <c r="O118" s="39">
        <v>1.38</v>
      </c>
      <c r="P118" s="38">
        <v>0</v>
      </c>
      <c r="Q118" s="55">
        <f t="shared" si="79"/>
        <v>-4</v>
      </c>
      <c r="R118" s="57">
        <f t="shared" ref="R118" si="93">Q118+R117</f>
        <v>64.16</v>
      </c>
      <c r="S118" s="113"/>
    </row>
    <row r="119" spans="2:19" outlineLevel="1" x14ac:dyDescent="0.2">
      <c r="B119" s="48">
        <f t="shared" si="14"/>
        <v>116</v>
      </c>
      <c r="C119" s="36" t="s">
        <v>252</v>
      </c>
      <c r="D119" s="86">
        <v>44138</v>
      </c>
      <c r="E119" s="36" t="s">
        <v>31</v>
      </c>
      <c r="F119" s="36" t="s">
        <v>28</v>
      </c>
      <c r="G119" s="70" t="s">
        <v>70</v>
      </c>
      <c r="H119" s="70">
        <v>1000</v>
      </c>
      <c r="I119" s="74" t="s">
        <v>131</v>
      </c>
      <c r="J119" s="36" t="s">
        <v>118</v>
      </c>
      <c r="K119" s="70">
        <v>7</v>
      </c>
      <c r="L119" s="47" t="s">
        <v>12</v>
      </c>
      <c r="M119" s="12">
        <v>3.5</v>
      </c>
      <c r="N119" s="38">
        <v>3.9800000000000004</v>
      </c>
      <c r="O119" s="39">
        <v>1.8</v>
      </c>
      <c r="P119" s="38">
        <v>4.9323076923076918</v>
      </c>
      <c r="Q119" s="55">
        <f t="shared" si="79"/>
        <v>13.9</v>
      </c>
      <c r="R119" s="57">
        <f t="shared" ref="R119" si="94">Q119+R118</f>
        <v>78.06</v>
      </c>
      <c r="S119" s="113"/>
    </row>
    <row r="120" spans="2:19" outlineLevel="1" x14ac:dyDescent="0.2">
      <c r="B120" s="48">
        <f t="shared" si="14"/>
        <v>117</v>
      </c>
      <c r="C120" s="36" t="s">
        <v>254</v>
      </c>
      <c r="D120" s="86">
        <v>44138</v>
      </c>
      <c r="E120" s="36" t="s">
        <v>31</v>
      </c>
      <c r="F120" s="36" t="s">
        <v>39</v>
      </c>
      <c r="G120" s="70" t="s">
        <v>70</v>
      </c>
      <c r="H120" s="70">
        <v>1200</v>
      </c>
      <c r="I120" s="74" t="s">
        <v>131</v>
      </c>
      <c r="J120" s="36" t="s">
        <v>118</v>
      </c>
      <c r="K120" s="70">
        <v>1</v>
      </c>
      <c r="L120" s="47" t="s">
        <v>15</v>
      </c>
      <c r="M120" s="12">
        <v>3.26</v>
      </c>
      <c r="N120" s="38">
        <v>4.4399999999999995</v>
      </c>
      <c r="O120" s="39">
        <v>1.36</v>
      </c>
      <c r="P120" s="38">
        <v>0</v>
      </c>
      <c r="Q120" s="55">
        <f t="shared" si="79"/>
        <v>-4.4000000000000004</v>
      </c>
      <c r="R120" s="57">
        <f t="shared" ref="R120" si="95">Q120+R119</f>
        <v>73.66</v>
      </c>
      <c r="S120" s="113"/>
    </row>
    <row r="121" spans="2:19" outlineLevel="1" x14ac:dyDescent="0.2">
      <c r="B121" s="48">
        <f t="shared" si="14"/>
        <v>118</v>
      </c>
      <c r="C121" s="36" t="s">
        <v>262</v>
      </c>
      <c r="D121" s="86">
        <v>44139</v>
      </c>
      <c r="E121" s="36" t="s">
        <v>38</v>
      </c>
      <c r="F121" s="36" t="s">
        <v>39</v>
      </c>
      <c r="G121" s="70" t="s">
        <v>70</v>
      </c>
      <c r="H121" s="70">
        <v>1200</v>
      </c>
      <c r="I121" s="74" t="s">
        <v>131</v>
      </c>
      <c r="J121" s="36" t="s">
        <v>118</v>
      </c>
      <c r="K121" s="70">
        <v>8</v>
      </c>
      <c r="L121" s="47" t="s">
        <v>61</v>
      </c>
      <c r="M121" s="12">
        <v>6.2</v>
      </c>
      <c r="N121" s="38">
        <v>1.93</v>
      </c>
      <c r="O121" s="39">
        <v>2.34</v>
      </c>
      <c r="P121" s="38">
        <v>1.4488888888888884</v>
      </c>
      <c r="Q121" s="55">
        <f t="shared" si="79"/>
        <v>-3.4</v>
      </c>
      <c r="R121" s="57">
        <f t="shared" ref="R121" si="96">Q121+R120</f>
        <v>70.259999999999991</v>
      </c>
      <c r="S121" s="113"/>
    </row>
    <row r="122" spans="2:19" outlineLevel="1" x14ac:dyDescent="0.2">
      <c r="B122" s="48">
        <f t="shared" si="14"/>
        <v>119</v>
      </c>
      <c r="C122" s="36" t="s">
        <v>263</v>
      </c>
      <c r="D122" s="86">
        <v>44139</v>
      </c>
      <c r="E122" s="36" t="s">
        <v>38</v>
      </c>
      <c r="F122" s="36" t="s">
        <v>13</v>
      </c>
      <c r="G122" s="70" t="s">
        <v>70</v>
      </c>
      <c r="H122" s="70">
        <v>1100</v>
      </c>
      <c r="I122" s="74" t="s">
        <v>131</v>
      </c>
      <c r="J122" s="36" t="s">
        <v>118</v>
      </c>
      <c r="K122" s="70">
        <v>9</v>
      </c>
      <c r="L122" s="47" t="s">
        <v>12</v>
      </c>
      <c r="M122" s="12">
        <v>3.12</v>
      </c>
      <c r="N122" s="38">
        <v>4.7223529411764709</v>
      </c>
      <c r="O122" s="39">
        <v>1.4</v>
      </c>
      <c r="P122" s="38">
        <v>0</v>
      </c>
      <c r="Q122" s="55">
        <f t="shared" si="79"/>
        <v>10</v>
      </c>
      <c r="R122" s="57">
        <f t="shared" ref="R122" si="97">Q122+R121</f>
        <v>80.259999999999991</v>
      </c>
      <c r="S122" s="113"/>
    </row>
    <row r="123" spans="2:19" outlineLevel="1" x14ac:dyDescent="0.2">
      <c r="B123" s="48">
        <f t="shared" si="14"/>
        <v>120</v>
      </c>
      <c r="C123" s="36" t="s">
        <v>253</v>
      </c>
      <c r="D123" s="86">
        <v>44139</v>
      </c>
      <c r="E123" s="36" t="s">
        <v>38</v>
      </c>
      <c r="F123" s="36" t="s">
        <v>13</v>
      </c>
      <c r="G123" s="70" t="s">
        <v>70</v>
      </c>
      <c r="H123" s="70">
        <v>1100</v>
      </c>
      <c r="I123" s="74" t="s">
        <v>131</v>
      </c>
      <c r="J123" s="36" t="s">
        <v>118</v>
      </c>
      <c r="K123" s="70">
        <v>12</v>
      </c>
      <c r="L123" s="47" t="s">
        <v>86</v>
      </c>
      <c r="M123" s="12">
        <v>85</v>
      </c>
      <c r="N123" s="38">
        <v>0.11952380952380953</v>
      </c>
      <c r="O123" s="39">
        <v>11.03</v>
      </c>
      <c r="P123" s="38">
        <v>0.01</v>
      </c>
      <c r="Q123" s="55">
        <f t="shared" si="79"/>
        <v>-0.1</v>
      </c>
      <c r="R123" s="57">
        <f t="shared" ref="R123" si="98">Q123+R122</f>
        <v>80.16</v>
      </c>
      <c r="S123" s="113"/>
    </row>
    <row r="124" spans="2:19" outlineLevel="1" x14ac:dyDescent="0.2">
      <c r="B124" s="48">
        <f t="shared" si="14"/>
        <v>121</v>
      </c>
      <c r="C124" s="36" t="s">
        <v>272</v>
      </c>
      <c r="D124" s="86">
        <v>44141</v>
      </c>
      <c r="E124" s="36" t="s">
        <v>46</v>
      </c>
      <c r="F124" s="36" t="s">
        <v>28</v>
      </c>
      <c r="G124" s="70" t="s">
        <v>70</v>
      </c>
      <c r="H124" s="70">
        <v>1100</v>
      </c>
      <c r="I124" s="74" t="s">
        <v>131</v>
      </c>
      <c r="J124" s="36" t="s">
        <v>118</v>
      </c>
      <c r="K124" s="70">
        <v>1</v>
      </c>
      <c r="L124" s="47" t="s">
        <v>12</v>
      </c>
      <c r="M124" s="12">
        <v>6.29</v>
      </c>
      <c r="N124" s="38">
        <v>1.8909523809523809</v>
      </c>
      <c r="O124" s="39">
        <v>1.85</v>
      </c>
      <c r="P124" s="38">
        <v>2.2628571428571429</v>
      </c>
      <c r="Q124" s="55">
        <f t="shared" si="79"/>
        <v>11.9</v>
      </c>
      <c r="R124" s="57">
        <f t="shared" ref="R124" si="99">Q124+R123</f>
        <v>92.06</v>
      </c>
      <c r="S124" s="113"/>
    </row>
    <row r="125" spans="2:19" outlineLevel="1" x14ac:dyDescent="0.2">
      <c r="B125" s="48">
        <f t="shared" si="14"/>
        <v>122</v>
      </c>
      <c r="C125" s="36" t="s">
        <v>97</v>
      </c>
      <c r="D125" s="86">
        <v>44141</v>
      </c>
      <c r="E125" s="36" t="s">
        <v>46</v>
      </c>
      <c r="F125" s="36" t="s">
        <v>28</v>
      </c>
      <c r="G125" s="70" t="s">
        <v>70</v>
      </c>
      <c r="H125" s="70">
        <v>1100</v>
      </c>
      <c r="I125" s="74" t="s">
        <v>131</v>
      </c>
      <c r="J125" s="36" t="s">
        <v>118</v>
      </c>
      <c r="K125" s="70">
        <v>8</v>
      </c>
      <c r="L125" s="47" t="s">
        <v>11</v>
      </c>
      <c r="M125" s="12">
        <v>1.63</v>
      </c>
      <c r="N125" s="38">
        <v>15.920000000000002</v>
      </c>
      <c r="O125" s="39">
        <v>1.1000000000000001</v>
      </c>
      <c r="P125" s="38">
        <v>0</v>
      </c>
      <c r="Q125" s="55">
        <f t="shared" si="79"/>
        <v>-15.9</v>
      </c>
      <c r="R125" s="57">
        <f t="shared" ref="R125" si="100">Q125+R124</f>
        <v>76.16</v>
      </c>
      <c r="S125" s="113"/>
    </row>
    <row r="126" spans="2:19" outlineLevel="1" x14ac:dyDescent="0.2">
      <c r="B126" s="48">
        <f t="shared" si="14"/>
        <v>123</v>
      </c>
      <c r="C126" s="36" t="s">
        <v>278</v>
      </c>
      <c r="D126" s="86">
        <v>44142</v>
      </c>
      <c r="E126" s="36" t="s">
        <v>57</v>
      </c>
      <c r="F126" s="36" t="s">
        <v>39</v>
      </c>
      <c r="G126" s="70" t="s">
        <v>70</v>
      </c>
      <c r="H126" s="70">
        <v>1100</v>
      </c>
      <c r="I126" s="74" t="s">
        <v>131</v>
      </c>
      <c r="J126" s="36" t="s">
        <v>118</v>
      </c>
      <c r="K126" s="70">
        <v>5</v>
      </c>
      <c r="L126" s="47" t="s">
        <v>11</v>
      </c>
      <c r="M126" s="12">
        <v>7.4</v>
      </c>
      <c r="N126" s="38">
        <v>1.5561538461538462</v>
      </c>
      <c r="O126" s="39">
        <v>2.2400000000000002</v>
      </c>
      <c r="P126" s="38">
        <v>1.27</v>
      </c>
      <c r="Q126" s="55">
        <f t="shared" si="79"/>
        <v>0</v>
      </c>
      <c r="R126" s="57">
        <f t="shared" ref="R126" si="101">Q126+R125</f>
        <v>76.16</v>
      </c>
      <c r="S126" s="113"/>
    </row>
    <row r="127" spans="2:19" outlineLevel="1" x14ac:dyDescent="0.2">
      <c r="B127" s="48">
        <f t="shared" si="14"/>
        <v>124</v>
      </c>
      <c r="C127" s="36" t="s">
        <v>274</v>
      </c>
      <c r="D127" s="86">
        <v>44142</v>
      </c>
      <c r="E127" s="36" t="s">
        <v>57</v>
      </c>
      <c r="F127" s="36" t="s">
        <v>13</v>
      </c>
      <c r="G127" s="70" t="s">
        <v>70</v>
      </c>
      <c r="H127" s="70">
        <v>1200</v>
      </c>
      <c r="I127" s="74" t="s">
        <v>131</v>
      </c>
      <c r="J127" s="36" t="s">
        <v>118</v>
      </c>
      <c r="K127" s="70">
        <v>8</v>
      </c>
      <c r="L127" s="47" t="s">
        <v>11</v>
      </c>
      <c r="M127" s="12">
        <v>31.23</v>
      </c>
      <c r="N127" s="38">
        <v>0.32967213114754101</v>
      </c>
      <c r="O127" s="39">
        <v>4.8</v>
      </c>
      <c r="P127" s="38">
        <v>9.3333333333333351E-2</v>
      </c>
      <c r="Q127" s="55">
        <f t="shared" si="79"/>
        <v>0</v>
      </c>
      <c r="R127" s="57">
        <f t="shared" ref="R127" si="102">Q127+R126</f>
        <v>76.16</v>
      </c>
      <c r="S127" s="113"/>
    </row>
    <row r="128" spans="2:19" outlineLevel="1" x14ac:dyDescent="0.2">
      <c r="B128" s="48">
        <f t="shared" si="14"/>
        <v>125</v>
      </c>
      <c r="C128" s="36" t="s">
        <v>273</v>
      </c>
      <c r="D128" s="86">
        <v>44142</v>
      </c>
      <c r="E128" s="36" t="s">
        <v>57</v>
      </c>
      <c r="F128" s="36" t="s">
        <v>13</v>
      </c>
      <c r="G128" s="70" t="s">
        <v>70</v>
      </c>
      <c r="H128" s="70">
        <v>1200</v>
      </c>
      <c r="I128" s="74" t="s">
        <v>131</v>
      </c>
      <c r="J128" s="36" t="s">
        <v>118</v>
      </c>
      <c r="K128" s="70">
        <v>4</v>
      </c>
      <c r="L128" s="47" t="s">
        <v>12</v>
      </c>
      <c r="M128" s="12">
        <v>3.6</v>
      </c>
      <c r="N128" s="38">
        <v>3.86</v>
      </c>
      <c r="O128" s="39">
        <v>1.44</v>
      </c>
      <c r="P128" s="38">
        <v>0</v>
      </c>
      <c r="Q128" s="55">
        <f t="shared" si="79"/>
        <v>10</v>
      </c>
      <c r="R128" s="57">
        <f t="shared" ref="R128" si="103">Q128+R127</f>
        <v>86.16</v>
      </c>
      <c r="S128" s="113"/>
    </row>
    <row r="129" spans="2:23" outlineLevel="1" x14ac:dyDescent="0.2">
      <c r="B129" s="48">
        <f t="shared" si="14"/>
        <v>126</v>
      </c>
      <c r="C129" s="36" t="s">
        <v>216</v>
      </c>
      <c r="D129" s="86">
        <v>44142</v>
      </c>
      <c r="E129" s="36" t="s">
        <v>57</v>
      </c>
      <c r="F129" s="36" t="s">
        <v>13</v>
      </c>
      <c r="G129" s="70" t="s">
        <v>70</v>
      </c>
      <c r="H129" s="70">
        <v>1200</v>
      </c>
      <c r="I129" s="74" t="s">
        <v>131</v>
      </c>
      <c r="J129" s="36" t="s">
        <v>118</v>
      </c>
      <c r="K129" s="70">
        <v>1</v>
      </c>
      <c r="L129" s="47" t="s">
        <v>15</v>
      </c>
      <c r="M129" s="12">
        <v>9.92</v>
      </c>
      <c r="N129" s="38">
        <v>1.1217293233082706</v>
      </c>
      <c r="O129" s="39">
        <v>2.04</v>
      </c>
      <c r="P129" s="38">
        <v>1.0799999999999992</v>
      </c>
      <c r="Q129" s="55">
        <f t="shared" si="79"/>
        <v>0</v>
      </c>
      <c r="R129" s="57">
        <f t="shared" ref="R129" si="104">Q129+R128</f>
        <v>86.16</v>
      </c>
      <c r="S129" s="113"/>
    </row>
    <row r="130" spans="2:23" outlineLevel="1" x14ac:dyDescent="0.2">
      <c r="B130" s="48">
        <f t="shared" si="14"/>
        <v>127</v>
      </c>
      <c r="C130" s="36" t="s">
        <v>275</v>
      </c>
      <c r="D130" s="86">
        <v>44143</v>
      </c>
      <c r="E130" s="36" t="s">
        <v>65</v>
      </c>
      <c r="F130" s="36" t="s">
        <v>28</v>
      </c>
      <c r="G130" s="70" t="s">
        <v>70</v>
      </c>
      <c r="H130" s="70">
        <v>1100</v>
      </c>
      <c r="I130" s="74" t="s">
        <v>131</v>
      </c>
      <c r="J130" s="36" t="s">
        <v>118</v>
      </c>
      <c r="K130" s="70">
        <v>1</v>
      </c>
      <c r="L130" s="47" t="s">
        <v>61</v>
      </c>
      <c r="M130" s="12">
        <v>1.46</v>
      </c>
      <c r="N130" s="38">
        <v>21.736917663617167</v>
      </c>
      <c r="O130" s="39">
        <v>1.21</v>
      </c>
      <c r="P130" s="38"/>
      <c r="Q130" s="55">
        <f t="shared" si="79"/>
        <v>-21.7</v>
      </c>
      <c r="R130" s="57">
        <f t="shared" ref="R130" si="105">Q130+R129</f>
        <v>64.459999999999994</v>
      </c>
      <c r="S130" s="113"/>
    </row>
    <row r="131" spans="2:23" outlineLevel="1" x14ac:dyDescent="0.2">
      <c r="B131" s="48">
        <f t="shared" si="14"/>
        <v>128</v>
      </c>
      <c r="C131" s="36" t="s">
        <v>220</v>
      </c>
      <c r="D131" s="86">
        <v>44144</v>
      </c>
      <c r="E131" s="36" t="s">
        <v>17</v>
      </c>
      <c r="F131" s="36" t="s">
        <v>28</v>
      </c>
      <c r="G131" s="70" t="s">
        <v>70</v>
      </c>
      <c r="H131" s="70">
        <v>1200</v>
      </c>
      <c r="I131" s="74" t="s">
        <v>131</v>
      </c>
      <c r="J131" s="36" t="s">
        <v>118</v>
      </c>
      <c r="K131" s="70">
        <v>8</v>
      </c>
      <c r="L131" s="47" t="s">
        <v>12</v>
      </c>
      <c r="M131" s="12">
        <v>1.43</v>
      </c>
      <c r="N131" s="38">
        <v>23.25028571428571</v>
      </c>
      <c r="O131" s="39">
        <v>1.1100000000000001</v>
      </c>
      <c r="P131" s="38">
        <v>0</v>
      </c>
      <c r="Q131" s="55">
        <f t="shared" si="79"/>
        <v>10</v>
      </c>
      <c r="R131" s="57">
        <f t="shared" ref="R131" si="106">Q131+R130</f>
        <v>74.459999999999994</v>
      </c>
      <c r="S131" s="113"/>
    </row>
    <row r="132" spans="2:23" outlineLevel="1" x14ac:dyDescent="0.2">
      <c r="B132" s="48">
        <f t="shared" si="14"/>
        <v>129</v>
      </c>
      <c r="C132" s="36" t="s">
        <v>281</v>
      </c>
      <c r="D132" s="86">
        <v>44144</v>
      </c>
      <c r="E132" s="36" t="s">
        <v>17</v>
      </c>
      <c r="F132" s="36" t="s">
        <v>39</v>
      </c>
      <c r="G132" s="70" t="s">
        <v>70</v>
      </c>
      <c r="H132" s="70">
        <v>1200</v>
      </c>
      <c r="I132" s="74" t="s">
        <v>131</v>
      </c>
      <c r="J132" s="36" t="s">
        <v>118</v>
      </c>
      <c r="K132" s="70">
        <v>9</v>
      </c>
      <c r="L132" s="47" t="s">
        <v>69</v>
      </c>
      <c r="M132" s="12">
        <v>5.25</v>
      </c>
      <c r="N132" s="38">
        <v>2.3611764705882354</v>
      </c>
      <c r="O132" s="39">
        <v>2.1</v>
      </c>
      <c r="P132" s="38">
        <v>2.1311111111111121</v>
      </c>
      <c r="Q132" s="55">
        <f t="shared" si="79"/>
        <v>-4.5</v>
      </c>
      <c r="R132" s="57">
        <f t="shared" ref="R132" si="107">Q132+R131</f>
        <v>69.959999999999994</v>
      </c>
      <c r="S132" s="113"/>
      <c r="W132" s="1"/>
    </row>
    <row r="133" spans="2:23" outlineLevel="1" x14ac:dyDescent="0.2">
      <c r="B133" s="48">
        <f t="shared" si="14"/>
        <v>130</v>
      </c>
      <c r="C133" s="36" t="s">
        <v>282</v>
      </c>
      <c r="D133" s="86">
        <v>44144</v>
      </c>
      <c r="E133" s="36" t="s">
        <v>17</v>
      </c>
      <c r="F133" s="36" t="s">
        <v>13</v>
      </c>
      <c r="G133" s="70" t="s">
        <v>70</v>
      </c>
      <c r="H133" s="70">
        <v>1000</v>
      </c>
      <c r="I133" s="74" t="s">
        <v>131</v>
      </c>
      <c r="J133" s="36" t="s">
        <v>118</v>
      </c>
      <c r="K133" s="70">
        <v>12</v>
      </c>
      <c r="L133" s="47" t="s">
        <v>11</v>
      </c>
      <c r="M133" s="12">
        <v>6.89</v>
      </c>
      <c r="N133" s="38">
        <v>1.6972340425531915</v>
      </c>
      <c r="O133" s="39">
        <v>2.08</v>
      </c>
      <c r="P133" s="38">
        <v>1.6059259259259258</v>
      </c>
      <c r="Q133" s="55">
        <f t="shared" si="79"/>
        <v>0</v>
      </c>
      <c r="R133" s="57">
        <f t="shared" ref="R133" si="108">Q133+R132</f>
        <v>69.959999999999994</v>
      </c>
      <c r="S133" s="113"/>
    </row>
    <row r="134" spans="2:23" outlineLevel="1" x14ac:dyDescent="0.2">
      <c r="B134" s="48">
        <f t="shared" si="14"/>
        <v>131</v>
      </c>
      <c r="C134" s="36" t="s">
        <v>284</v>
      </c>
      <c r="D134" s="86">
        <v>44146</v>
      </c>
      <c r="E134" s="36" t="s">
        <v>44</v>
      </c>
      <c r="F134" s="36" t="s">
        <v>39</v>
      </c>
      <c r="G134" s="70" t="s">
        <v>70</v>
      </c>
      <c r="H134" s="70">
        <v>1400</v>
      </c>
      <c r="I134" s="74" t="s">
        <v>131</v>
      </c>
      <c r="J134" s="36" t="s">
        <v>118</v>
      </c>
      <c r="K134" s="70">
        <v>4</v>
      </c>
      <c r="L134" s="47" t="s">
        <v>12</v>
      </c>
      <c r="M134" s="12">
        <v>9.11</v>
      </c>
      <c r="N134" s="38">
        <v>1.2315077605321509</v>
      </c>
      <c r="O134" s="39">
        <v>2.59</v>
      </c>
      <c r="P134" s="38">
        <v>0.75692307692307692</v>
      </c>
      <c r="Q134" s="55">
        <f t="shared" si="79"/>
        <v>11.2</v>
      </c>
      <c r="R134" s="57">
        <f t="shared" ref="R134" si="109">Q134+R133</f>
        <v>81.16</v>
      </c>
      <c r="S134" s="113"/>
    </row>
    <row r="135" spans="2:23" outlineLevel="1" x14ac:dyDescent="0.2">
      <c r="B135" s="48">
        <f t="shared" si="14"/>
        <v>132</v>
      </c>
      <c r="C135" s="36" t="s">
        <v>105</v>
      </c>
      <c r="D135" s="86">
        <v>44147</v>
      </c>
      <c r="E135" s="36" t="s">
        <v>40</v>
      </c>
      <c r="F135" s="36" t="s">
        <v>39</v>
      </c>
      <c r="G135" s="70" t="s">
        <v>70</v>
      </c>
      <c r="H135" s="70">
        <v>1170</v>
      </c>
      <c r="I135" s="74" t="s">
        <v>131</v>
      </c>
      <c r="J135" s="36" t="s">
        <v>118</v>
      </c>
      <c r="K135" s="70">
        <v>7</v>
      </c>
      <c r="L135" s="47" t="s">
        <v>12</v>
      </c>
      <c r="M135" s="12">
        <v>1.69</v>
      </c>
      <c r="N135" s="38">
        <v>14.552727272727271</v>
      </c>
      <c r="O135" s="39">
        <v>1.1299999999999999</v>
      </c>
      <c r="P135" s="38">
        <v>0</v>
      </c>
      <c r="Q135" s="55">
        <f t="shared" si="79"/>
        <v>10</v>
      </c>
      <c r="R135" s="57">
        <f t="shared" ref="R135" si="110">Q135+R134</f>
        <v>91.16</v>
      </c>
      <c r="S135" s="113"/>
    </row>
    <row r="136" spans="2:23" outlineLevel="1" x14ac:dyDescent="0.2">
      <c r="B136" s="48">
        <f t="shared" si="14"/>
        <v>133</v>
      </c>
      <c r="C136" s="36" t="s">
        <v>283</v>
      </c>
      <c r="D136" s="86">
        <v>44147</v>
      </c>
      <c r="E136" s="36" t="s">
        <v>49</v>
      </c>
      <c r="F136" s="36" t="s">
        <v>39</v>
      </c>
      <c r="G136" s="70" t="s">
        <v>70</v>
      </c>
      <c r="H136" s="70">
        <v>1200</v>
      </c>
      <c r="I136" s="74" t="s">
        <v>130</v>
      </c>
      <c r="J136" s="36" t="s">
        <v>118</v>
      </c>
      <c r="K136" s="70">
        <v>2</v>
      </c>
      <c r="L136" s="47" t="s">
        <v>61</v>
      </c>
      <c r="M136" s="12">
        <v>2.64</v>
      </c>
      <c r="N136" s="38">
        <v>6.1039070442992003</v>
      </c>
      <c r="O136" s="39">
        <v>1.37</v>
      </c>
      <c r="P136" s="38">
        <v>0</v>
      </c>
      <c r="Q136" s="55">
        <f t="shared" si="79"/>
        <v>-6.1</v>
      </c>
      <c r="R136" s="57">
        <f t="shared" ref="R136" si="111">Q136+R135</f>
        <v>85.06</v>
      </c>
      <c r="S136" s="113"/>
    </row>
    <row r="137" spans="2:23" outlineLevel="1" x14ac:dyDescent="0.2">
      <c r="B137" s="48">
        <f t="shared" si="14"/>
        <v>134</v>
      </c>
      <c r="C137" s="36" t="s">
        <v>233</v>
      </c>
      <c r="D137" s="86">
        <v>44148</v>
      </c>
      <c r="E137" s="36" t="s">
        <v>38</v>
      </c>
      <c r="F137" s="36" t="s">
        <v>52</v>
      </c>
      <c r="G137" s="70" t="s">
        <v>70</v>
      </c>
      <c r="H137" s="70">
        <v>1100</v>
      </c>
      <c r="I137" s="74" t="s">
        <v>130</v>
      </c>
      <c r="J137" s="36" t="s">
        <v>118</v>
      </c>
      <c r="K137" s="70">
        <v>3</v>
      </c>
      <c r="L137" s="47" t="s">
        <v>93</v>
      </c>
      <c r="M137" s="12">
        <v>15</v>
      </c>
      <c r="N137" s="38">
        <v>0.71714285714285708</v>
      </c>
      <c r="O137" s="39">
        <v>3.93</v>
      </c>
      <c r="P137" s="38">
        <v>0.24571428571428572</v>
      </c>
      <c r="Q137" s="55">
        <f t="shared" si="79"/>
        <v>-1</v>
      </c>
      <c r="R137" s="57">
        <f t="shared" ref="R137" si="112">Q137+R136</f>
        <v>84.06</v>
      </c>
      <c r="S137" s="113"/>
    </row>
    <row r="138" spans="2:23" outlineLevel="1" x14ac:dyDescent="0.2">
      <c r="B138" s="48">
        <f t="shared" si="14"/>
        <v>135</v>
      </c>
      <c r="C138" s="36" t="s">
        <v>285</v>
      </c>
      <c r="D138" s="86">
        <v>44148</v>
      </c>
      <c r="E138" s="36" t="s">
        <v>30</v>
      </c>
      <c r="F138" s="36" t="s">
        <v>45</v>
      </c>
      <c r="G138" s="70" t="s">
        <v>74</v>
      </c>
      <c r="H138" s="70">
        <v>955</v>
      </c>
      <c r="I138" s="74" t="s">
        <v>131</v>
      </c>
      <c r="J138" s="36" t="s">
        <v>118</v>
      </c>
      <c r="K138" s="70">
        <v>6</v>
      </c>
      <c r="L138" s="47" t="s">
        <v>66</v>
      </c>
      <c r="M138" s="12">
        <v>8.23</v>
      </c>
      <c r="N138" s="38">
        <v>1.3858620689655172</v>
      </c>
      <c r="O138" s="39">
        <v>2.54</v>
      </c>
      <c r="P138" s="38">
        <v>0.90666666666666651</v>
      </c>
      <c r="Q138" s="55">
        <f t="shared" si="79"/>
        <v>-2.2999999999999998</v>
      </c>
      <c r="R138" s="57">
        <f t="shared" ref="R138" si="113">Q138+R137</f>
        <v>81.760000000000005</v>
      </c>
      <c r="S138" s="113"/>
    </row>
    <row r="139" spans="2:23" outlineLevel="1" x14ac:dyDescent="0.2">
      <c r="B139" s="48">
        <f t="shared" si="14"/>
        <v>136</v>
      </c>
      <c r="C139" s="36" t="s">
        <v>287</v>
      </c>
      <c r="D139" s="86">
        <v>44149</v>
      </c>
      <c r="E139" s="36" t="s">
        <v>290</v>
      </c>
      <c r="F139" s="36" t="s">
        <v>28</v>
      </c>
      <c r="G139" s="70" t="s">
        <v>70</v>
      </c>
      <c r="H139" s="70">
        <v>1000</v>
      </c>
      <c r="I139" s="74" t="s">
        <v>130</v>
      </c>
      <c r="J139" s="36" t="s">
        <v>118</v>
      </c>
      <c r="K139" s="70">
        <v>5</v>
      </c>
      <c r="L139" s="47" t="s">
        <v>11</v>
      </c>
      <c r="M139" s="12">
        <v>3.06</v>
      </c>
      <c r="N139" s="38">
        <v>4.877575757575757</v>
      </c>
      <c r="O139" s="39">
        <v>1.44</v>
      </c>
      <c r="P139" s="38">
        <v>0</v>
      </c>
      <c r="Q139" s="55">
        <f t="shared" si="79"/>
        <v>-4.9000000000000004</v>
      </c>
      <c r="R139" s="57">
        <f t="shared" ref="R139" si="114">Q139+R138</f>
        <v>76.86</v>
      </c>
      <c r="S139" s="113"/>
    </row>
    <row r="140" spans="2:23" outlineLevel="1" x14ac:dyDescent="0.2">
      <c r="B140" s="48">
        <f t="shared" si="14"/>
        <v>137</v>
      </c>
      <c r="C140" s="36" t="s">
        <v>288</v>
      </c>
      <c r="D140" s="86">
        <v>44149</v>
      </c>
      <c r="E140" s="36" t="s">
        <v>290</v>
      </c>
      <c r="F140" s="36" t="s">
        <v>39</v>
      </c>
      <c r="G140" s="70" t="s">
        <v>70</v>
      </c>
      <c r="H140" s="70">
        <v>1000</v>
      </c>
      <c r="I140" s="74" t="s">
        <v>130</v>
      </c>
      <c r="J140" s="36" t="s">
        <v>118</v>
      </c>
      <c r="K140" s="70">
        <v>10</v>
      </c>
      <c r="L140" s="47" t="s">
        <v>12</v>
      </c>
      <c r="M140" s="12">
        <v>6.94</v>
      </c>
      <c r="N140" s="38">
        <v>1.6766666666666667</v>
      </c>
      <c r="O140" s="39">
        <v>2.44</v>
      </c>
      <c r="P140" s="38">
        <v>1.1533333333333335</v>
      </c>
      <c r="Q140" s="55">
        <f t="shared" si="79"/>
        <v>11.6</v>
      </c>
      <c r="R140" s="57">
        <f t="shared" ref="R140" si="115">Q140+R139</f>
        <v>88.46</v>
      </c>
      <c r="S140" s="113"/>
    </row>
    <row r="141" spans="2:23" outlineLevel="1" x14ac:dyDescent="0.2">
      <c r="B141" s="48">
        <f t="shared" si="14"/>
        <v>138</v>
      </c>
      <c r="C141" s="36" t="s">
        <v>289</v>
      </c>
      <c r="D141" s="86">
        <v>44149</v>
      </c>
      <c r="E141" s="36" t="s">
        <v>290</v>
      </c>
      <c r="F141" s="36" t="s">
        <v>16</v>
      </c>
      <c r="G141" s="70" t="s">
        <v>72</v>
      </c>
      <c r="H141" s="70">
        <v>1000</v>
      </c>
      <c r="I141" s="74" t="s">
        <v>130</v>
      </c>
      <c r="J141" s="36" t="s">
        <v>118</v>
      </c>
      <c r="K141" s="70">
        <v>1</v>
      </c>
      <c r="L141" s="47" t="s">
        <v>12</v>
      </c>
      <c r="M141" s="12">
        <v>4.78</v>
      </c>
      <c r="N141" s="38">
        <v>2.6334767025089598</v>
      </c>
      <c r="O141" s="39">
        <v>1.84</v>
      </c>
      <c r="P141" s="38">
        <v>3.1233136094674556</v>
      </c>
      <c r="Q141" s="55">
        <f t="shared" si="79"/>
        <v>12.6</v>
      </c>
      <c r="R141" s="57">
        <f t="shared" ref="R141" si="116">Q141+R140</f>
        <v>101.05999999999999</v>
      </c>
      <c r="S141" s="113"/>
    </row>
    <row r="142" spans="2:23" outlineLevel="1" x14ac:dyDescent="0.2">
      <c r="B142" s="48">
        <f t="shared" si="14"/>
        <v>139</v>
      </c>
      <c r="C142" s="36" t="s">
        <v>87</v>
      </c>
      <c r="D142" s="86">
        <v>44149</v>
      </c>
      <c r="E142" s="36" t="s">
        <v>286</v>
      </c>
      <c r="F142" s="36" t="s">
        <v>13</v>
      </c>
      <c r="G142" s="70" t="s">
        <v>70</v>
      </c>
      <c r="H142" s="70">
        <v>1000</v>
      </c>
      <c r="I142" s="74" t="s">
        <v>131</v>
      </c>
      <c r="J142" s="36" t="s">
        <v>179</v>
      </c>
      <c r="K142" s="70">
        <v>6</v>
      </c>
      <c r="L142" s="47" t="s">
        <v>12</v>
      </c>
      <c r="M142" s="12">
        <v>2.58</v>
      </c>
      <c r="N142" s="38">
        <v>6.36</v>
      </c>
      <c r="O142" s="39">
        <v>1.33</v>
      </c>
      <c r="P142" s="38">
        <v>0</v>
      </c>
      <c r="Q142" s="55">
        <f t="shared" si="79"/>
        <v>10</v>
      </c>
      <c r="R142" s="57">
        <f t="shared" ref="R142" si="117">Q142+R141</f>
        <v>111.05999999999999</v>
      </c>
      <c r="S142" s="113"/>
    </row>
    <row r="143" spans="2:23" outlineLevel="1" x14ac:dyDescent="0.2">
      <c r="B143" s="48">
        <f t="shared" si="14"/>
        <v>140</v>
      </c>
      <c r="C143" s="36" t="s">
        <v>296</v>
      </c>
      <c r="D143" s="86">
        <v>44150</v>
      </c>
      <c r="E143" s="36" t="s">
        <v>59</v>
      </c>
      <c r="F143" s="36" t="s">
        <v>39</v>
      </c>
      <c r="G143" s="70" t="s">
        <v>70</v>
      </c>
      <c r="H143" s="70">
        <v>1350</v>
      </c>
      <c r="I143" s="74" t="s">
        <v>131</v>
      </c>
      <c r="J143" s="36" t="s">
        <v>118</v>
      </c>
      <c r="K143" s="70">
        <v>3</v>
      </c>
      <c r="L143" s="47" t="s">
        <v>15</v>
      </c>
      <c r="M143" s="12">
        <v>2.35</v>
      </c>
      <c r="N143" s="33">
        <v>7.4260962566844926</v>
      </c>
      <c r="O143" s="10">
        <v>1.22</v>
      </c>
      <c r="P143" s="33">
        <v>0</v>
      </c>
      <c r="Q143" s="55">
        <f t="shared" si="79"/>
        <v>-7.4</v>
      </c>
      <c r="R143" s="57">
        <f t="shared" ref="R143" si="118">Q143+R142</f>
        <v>103.65999999999998</v>
      </c>
      <c r="S143" s="113"/>
    </row>
    <row r="144" spans="2:23" outlineLevel="1" x14ac:dyDescent="0.2">
      <c r="B144" s="48">
        <f>B143+1</f>
        <v>141</v>
      </c>
      <c r="C144" s="36" t="s">
        <v>297</v>
      </c>
      <c r="D144" s="86">
        <v>44150</v>
      </c>
      <c r="E144" s="36" t="s">
        <v>59</v>
      </c>
      <c r="F144" s="36" t="s">
        <v>39</v>
      </c>
      <c r="G144" s="70" t="s">
        <v>70</v>
      </c>
      <c r="H144" s="70">
        <v>1350</v>
      </c>
      <c r="I144" s="74" t="s">
        <v>131</v>
      </c>
      <c r="J144" s="36" t="s">
        <v>118</v>
      </c>
      <c r="K144" s="70">
        <v>7</v>
      </c>
      <c r="L144" s="47" t="s">
        <v>61</v>
      </c>
      <c r="M144" s="12">
        <v>7.4</v>
      </c>
      <c r="N144" s="33">
        <v>1.5561538461538462</v>
      </c>
      <c r="O144" s="10">
        <v>2.1</v>
      </c>
      <c r="P144" s="33">
        <v>1.421111111111111</v>
      </c>
      <c r="Q144" s="55">
        <f t="shared" si="79"/>
        <v>-3</v>
      </c>
      <c r="R144" s="57">
        <f t="shared" ref="R144:R145" si="119">Q144+R143</f>
        <v>100.65999999999998</v>
      </c>
      <c r="S144" s="113"/>
    </row>
    <row r="145" spans="2:19" outlineLevel="1" x14ac:dyDescent="0.2">
      <c r="B145" s="48">
        <f t="shared" si="14"/>
        <v>142</v>
      </c>
      <c r="C145" s="36" t="s">
        <v>298</v>
      </c>
      <c r="D145" s="86">
        <v>44152</v>
      </c>
      <c r="E145" s="36" t="s">
        <v>14</v>
      </c>
      <c r="F145" s="36" t="s">
        <v>28</v>
      </c>
      <c r="G145" s="70" t="s">
        <v>70</v>
      </c>
      <c r="H145" s="70">
        <v>1100</v>
      </c>
      <c r="I145" s="74" t="s">
        <v>131</v>
      </c>
      <c r="J145" s="36" t="s">
        <v>118</v>
      </c>
      <c r="K145" s="70">
        <v>5</v>
      </c>
      <c r="L145" s="47" t="s">
        <v>11</v>
      </c>
      <c r="M145" s="12">
        <v>4.6100000000000003</v>
      </c>
      <c r="N145" s="33">
        <v>2.7717241379310344</v>
      </c>
      <c r="O145" s="10">
        <v>1.96</v>
      </c>
      <c r="P145" s="33">
        <v>2.84</v>
      </c>
      <c r="Q145" s="55">
        <f t="shared" si="79"/>
        <v>0</v>
      </c>
      <c r="R145" s="57">
        <f t="shared" si="119"/>
        <v>100.65999999999998</v>
      </c>
      <c r="S145" s="113"/>
    </row>
    <row r="146" spans="2:19" outlineLevel="1" x14ac:dyDescent="0.2">
      <c r="B146" s="48">
        <f t="shared" si="14"/>
        <v>143</v>
      </c>
      <c r="C146" s="36" t="s">
        <v>219</v>
      </c>
      <c r="D146" s="86">
        <v>44152</v>
      </c>
      <c r="E146" s="36" t="s">
        <v>14</v>
      </c>
      <c r="F146" s="36" t="s">
        <v>13</v>
      </c>
      <c r="G146" s="70" t="s">
        <v>70</v>
      </c>
      <c r="H146" s="70">
        <v>1400</v>
      </c>
      <c r="I146" s="74" t="s">
        <v>131</v>
      </c>
      <c r="J146" s="36" t="s">
        <v>118</v>
      </c>
      <c r="K146" s="70">
        <v>7</v>
      </c>
      <c r="L146" s="47" t="s">
        <v>12</v>
      </c>
      <c r="M146" s="12">
        <v>3.1</v>
      </c>
      <c r="N146" s="33">
        <v>4.7706184012066366</v>
      </c>
      <c r="O146" s="10">
        <v>1.43</v>
      </c>
      <c r="P146" s="33">
        <v>0</v>
      </c>
      <c r="Q146" s="55">
        <f t="shared" si="79"/>
        <v>10</v>
      </c>
      <c r="R146" s="57">
        <f t="shared" ref="R146" si="120">Q146+R145</f>
        <v>110.65999999999998</v>
      </c>
      <c r="S146" s="113"/>
    </row>
    <row r="147" spans="2:19" outlineLevel="1" x14ac:dyDescent="0.2">
      <c r="B147" s="48">
        <f t="shared" si="14"/>
        <v>144</v>
      </c>
      <c r="C147" s="36" t="s">
        <v>300</v>
      </c>
      <c r="D147" s="86">
        <v>44153</v>
      </c>
      <c r="E147" s="36" t="s">
        <v>43</v>
      </c>
      <c r="F147" s="36" t="s">
        <v>39</v>
      </c>
      <c r="G147" s="70" t="s">
        <v>70</v>
      </c>
      <c r="H147" s="70">
        <v>1200</v>
      </c>
      <c r="I147" s="74" t="s">
        <v>131</v>
      </c>
      <c r="J147" s="36" t="s">
        <v>118</v>
      </c>
      <c r="K147" s="70">
        <v>6</v>
      </c>
      <c r="L147" s="47" t="s">
        <v>69</v>
      </c>
      <c r="M147" s="12">
        <v>4.01</v>
      </c>
      <c r="N147" s="38">
        <v>3.3200000000000003</v>
      </c>
      <c r="O147" s="39">
        <v>1.71</v>
      </c>
      <c r="P147" s="38">
        <v>0</v>
      </c>
      <c r="Q147" s="55">
        <f t="shared" si="79"/>
        <v>-3.3</v>
      </c>
      <c r="R147" s="57">
        <f t="shared" ref="R147" si="121">Q147+R146</f>
        <v>107.35999999999999</v>
      </c>
      <c r="S147" s="113"/>
    </row>
    <row r="148" spans="2:19" outlineLevel="1" x14ac:dyDescent="0.2">
      <c r="B148" s="48">
        <f t="shared" si="14"/>
        <v>145</v>
      </c>
      <c r="C148" s="36" t="s">
        <v>244</v>
      </c>
      <c r="D148" s="86">
        <v>44153</v>
      </c>
      <c r="E148" s="36" t="s">
        <v>43</v>
      </c>
      <c r="F148" s="36" t="s">
        <v>39</v>
      </c>
      <c r="G148" s="70" t="s">
        <v>70</v>
      </c>
      <c r="H148" s="70">
        <v>1200</v>
      </c>
      <c r="I148" s="74" t="s">
        <v>131</v>
      </c>
      <c r="J148" s="36" t="s">
        <v>118</v>
      </c>
      <c r="K148" s="70">
        <v>5</v>
      </c>
      <c r="L148" s="47" t="s">
        <v>12</v>
      </c>
      <c r="M148" s="12">
        <v>3.1</v>
      </c>
      <c r="N148" s="38">
        <v>4.7706184012066366</v>
      </c>
      <c r="O148" s="39">
        <v>1.35</v>
      </c>
      <c r="P148" s="38">
        <v>0</v>
      </c>
      <c r="Q148" s="55">
        <f t="shared" si="79"/>
        <v>10</v>
      </c>
      <c r="R148" s="57">
        <f t="shared" ref="R148" si="122">Q148+R147</f>
        <v>117.35999999999999</v>
      </c>
      <c r="S148" s="113"/>
    </row>
    <row r="149" spans="2:19" outlineLevel="1" x14ac:dyDescent="0.2">
      <c r="B149" s="48">
        <f t="shared" si="14"/>
        <v>146</v>
      </c>
      <c r="C149" s="36" t="s">
        <v>301</v>
      </c>
      <c r="D149" s="86">
        <v>44154</v>
      </c>
      <c r="E149" s="36" t="s">
        <v>17</v>
      </c>
      <c r="F149" s="36" t="s">
        <v>28</v>
      </c>
      <c r="G149" s="70" t="s">
        <v>70</v>
      </c>
      <c r="H149" s="70">
        <v>1100</v>
      </c>
      <c r="I149" s="74" t="s">
        <v>131</v>
      </c>
      <c r="J149" s="36" t="s">
        <v>118</v>
      </c>
      <c r="K149" s="70">
        <v>7</v>
      </c>
      <c r="L149" s="47" t="s">
        <v>11</v>
      </c>
      <c r="M149" s="12">
        <v>3.56</v>
      </c>
      <c r="N149" s="38">
        <v>3.9175609756097565</v>
      </c>
      <c r="O149" s="39">
        <v>1.54</v>
      </c>
      <c r="P149" s="38">
        <v>0</v>
      </c>
      <c r="Q149" s="55">
        <f t="shared" si="79"/>
        <v>-3.9</v>
      </c>
      <c r="R149" s="57">
        <f t="shared" ref="R149" si="123">Q149+R148</f>
        <v>113.45999999999998</v>
      </c>
      <c r="S149" s="113"/>
    </row>
    <row r="150" spans="2:19" outlineLevel="1" x14ac:dyDescent="0.2">
      <c r="B150" s="48">
        <f t="shared" si="14"/>
        <v>147</v>
      </c>
      <c r="C150" s="36" t="s">
        <v>217</v>
      </c>
      <c r="D150" s="86">
        <v>44154</v>
      </c>
      <c r="E150" s="36" t="s">
        <v>17</v>
      </c>
      <c r="F150" s="36" t="s">
        <v>28</v>
      </c>
      <c r="G150" s="70" t="s">
        <v>70</v>
      </c>
      <c r="H150" s="70">
        <v>1100</v>
      </c>
      <c r="I150" s="74" t="s">
        <v>131</v>
      </c>
      <c r="J150" s="36" t="s">
        <v>118</v>
      </c>
      <c r="K150" s="70">
        <v>4</v>
      </c>
      <c r="L150" s="47" t="s">
        <v>12</v>
      </c>
      <c r="M150" s="12">
        <v>3.2</v>
      </c>
      <c r="N150" s="38">
        <v>4.5326007326007325</v>
      </c>
      <c r="O150" s="39">
        <v>1.32</v>
      </c>
      <c r="P150" s="38">
        <v>0</v>
      </c>
      <c r="Q150" s="55">
        <f t="shared" si="79"/>
        <v>10</v>
      </c>
      <c r="R150" s="57">
        <f t="shared" ref="R150" si="124">Q150+R149</f>
        <v>123.45999999999998</v>
      </c>
      <c r="S150" s="113"/>
    </row>
    <row r="151" spans="2:19" outlineLevel="1" x14ac:dyDescent="0.2">
      <c r="B151" s="48">
        <f t="shared" si="14"/>
        <v>148</v>
      </c>
      <c r="C151" s="36" t="s">
        <v>302</v>
      </c>
      <c r="D151" s="86">
        <v>44154</v>
      </c>
      <c r="E151" s="36" t="s">
        <v>17</v>
      </c>
      <c r="F151" s="36" t="s">
        <v>28</v>
      </c>
      <c r="G151" s="70" t="s">
        <v>70</v>
      </c>
      <c r="H151" s="70">
        <v>1100</v>
      </c>
      <c r="I151" s="74" t="s">
        <v>131</v>
      </c>
      <c r="J151" s="36" t="s">
        <v>118</v>
      </c>
      <c r="K151" s="70">
        <v>1</v>
      </c>
      <c r="L151" s="47" t="s">
        <v>76</v>
      </c>
      <c r="M151" s="12">
        <v>4.17</v>
      </c>
      <c r="N151" s="38">
        <v>3.1454901960784314</v>
      </c>
      <c r="O151" s="39">
        <v>1.56</v>
      </c>
      <c r="P151" s="38">
        <v>0</v>
      </c>
      <c r="Q151" s="55">
        <f t="shared" si="79"/>
        <v>-3.1</v>
      </c>
      <c r="R151" s="57">
        <f t="shared" ref="R151" si="125">Q151+R150</f>
        <v>120.35999999999999</v>
      </c>
      <c r="S151" s="113"/>
    </row>
    <row r="152" spans="2:19" outlineLevel="1" x14ac:dyDescent="0.2">
      <c r="B152" s="48">
        <f t="shared" si="14"/>
        <v>149</v>
      </c>
      <c r="C152" s="36" t="s">
        <v>303</v>
      </c>
      <c r="D152" s="86">
        <v>44154</v>
      </c>
      <c r="E152" s="36" t="s">
        <v>17</v>
      </c>
      <c r="F152" s="36" t="s">
        <v>13</v>
      </c>
      <c r="G152" s="70" t="s">
        <v>70</v>
      </c>
      <c r="H152" s="70">
        <v>1200</v>
      </c>
      <c r="I152" s="74" t="s">
        <v>131</v>
      </c>
      <c r="J152" s="36" t="s">
        <v>118</v>
      </c>
      <c r="K152" s="70">
        <v>6</v>
      </c>
      <c r="L152" s="47" t="s">
        <v>15</v>
      </c>
      <c r="M152" s="12">
        <v>3.2</v>
      </c>
      <c r="N152" s="38">
        <v>4.5326007326007325</v>
      </c>
      <c r="O152" s="39">
        <v>1.41</v>
      </c>
      <c r="P152" s="38">
        <v>0</v>
      </c>
      <c r="Q152" s="55">
        <f t="shared" si="79"/>
        <v>-4.5</v>
      </c>
      <c r="R152" s="57">
        <f t="shared" ref="R152" si="126">Q152+R151</f>
        <v>115.85999999999999</v>
      </c>
      <c r="S152" s="113"/>
    </row>
    <row r="153" spans="2:19" outlineLevel="1" x14ac:dyDescent="0.2">
      <c r="B153" s="48">
        <f t="shared" si="14"/>
        <v>150</v>
      </c>
      <c r="C153" s="36" t="s">
        <v>97</v>
      </c>
      <c r="D153" s="86">
        <v>44156</v>
      </c>
      <c r="E153" s="36" t="s">
        <v>79</v>
      </c>
      <c r="F153" s="36" t="s">
        <v>13</v>
      </c>
      <c r="G153" s="70" t="s">
        <v>70</v>
      </c>
      <c r="H153" s="70">
        <v>1000</v>
      </c>
      <c r="I153" s="74" t="s">
        <v>131</v>
      </c>
      <c r="J153" s="36" t="s">
        <v>118</v>
      </c>
      <c r="K153" s="70">
        <v>12</v>
      </c>
      <c r="L153" s="47" t="s">
        <v>15</v>
      </c>
      <c r="M153" s="12">
        <v>3.32</v>
      </c>
      <c r="N153" s="38">
        <v>4.3102702702702702</v>
      </c>
      <c r="O153" s="39">
        <v>1.46</v>
      </c>
      <c r="P153" s="38">
        <v>0</v>
      </c>
      <c r="Q153" s="55">
        <f t="shared" si="79"/>
        <v>-4.3</v>
      </c>
      <c r="R153" s="57">
        <f t="shared" ref="R153" si="127">Q153+R152</f>
        <v>111.55999999999999</v>
      </c>
      <c r="S153" s="113"/>
    </row>
    <row r="154" spans="2:19" outlineLevel="1" x14ac:dyDescent="0.2">
      <c r="B154" s="48">
        <f t="shared" si="14"/>
        <v>151</v>
      </c>
      <c r="C154" s="36" t="s">
        <v>81</v>
      </c>
      <c r="D154" s="86">
        <v>44156</v>
      </c>
      <c r="E154" s="36" t="s">
        <v>79</v>
      </c>
      <c r="F154" s="36" t="s">
        <v>50</v>
      </c>
      <c r="G154" s="70" t="s">
        <v>73</v>
      </c>
      <c r="H154" s="70">
        <v>1400</v>
      </c>
      <c r="I154" s="74" t="s">
        <v>131</v>
      </c>
      <c r="J154" s="36" t="s">
        <v>118</v>
      </c>
      <c r="K154" s="70">
        <v>2</v>
      </c>
      <c r="L154" s="47" t="s">
        <v>61</v>
      </c>
      <c r="M154" s="12">
        <v>5.16</v>
      </c>
      <c r="N154" s="38">
        <v>2.4139393939393936</v>
      </c>
      <c r="O154" s="39">
        <v>2.21</v>
      </c>
      <c r="P154" s="38">
        <v>2.0066666666666673</v>
      </c>
      <c r="Q154" s="55">
        <f t="shared" si="79"/>
        <v>-4.4000000000000004</v>
      </c>
      <c r="R154" s="57">
        <f t="shared" ref="R154" si="128">Q154+R153</f>
        <v>107.15999999999998</v>
      </c>
      <c r="S154" s="113"/>
    </row>
    <row r="155" spans="2:19" outlineLevel="1" x14ac:dyDescent="0.2">
      <c r="B155" s="48">
        <f t="shared" si="14"/>
        <v>152</v>
      </c>
      <c r="C155" s="36" t="s">
        <v>305</v>
      </c>
      <c r="D155" s="86">
        <v>44156</v>
      </c>
      <c r="E155" s="36" t="s">
        <v>79</v>
      </c>
      <c r="F155" s="36" t="s">
        <v>50</v>
      </c>
      <c r="G155" s="70" t="s">
        <v>73</v>
      </c>
      <c r="H155" s="70">
        <v>1400</v>
      </c>
      <c r="I155" s="74" t="s">
        <v>131</v>
      </c>
      <c r="J155" s="36" t="s">
        <v>118</v>
      </c>
      <c r="K155" s="70">
        <v>13</v>
      </c>
      <c r="L155" s="47" t="s">
        <v>69</v>
      </c>
      <c r="M155" s="12">
        <v>9.76</v>
      </c>
      <c r="N155" s="38">
        <v>1.1442857142857141</v>
      </c>
      <c r="O155" s="39">
        <v>3.05</v>
      </c>
      <c r="P155" s="38">
        <v>0.55058823529411716</v>
      </c>
      <c r="Q155" s="55">
        <f t="shared" si="79"/>
        <v>-1.7</v>
      </c>
      <c r="R155" s="57">
        <f t="shared" ref="R155" si="129">Q155+R154</f>
        <v>105.45999999999998</v>
      </c>
      <c r="S155" s="113"/>
    </row>
    <row r="156" spans="2:19" outlineLevel="1" x14ac:dyDescent="0.2">
      <c r="B156" s="48">
        <f t="shared" si="14"/>
        <v>153</v>
      </c>
      <c r="C156" s="36" t="s">
        <v>304</v>
      </c>
      <c r="D156" s="86">
        <v>44157</v>
      </c>
      <c r="E156" s="36" t="s">
        <v>88</v>
      </c>
      <c r="F156" s="36" t="s">
        <v>28</v>
      </c>
      <c r="G156" s="70" t="s">
        <v>70</v>
      </c>
      <c r="H156" s="70">
        <v>1100</v>
      </c>
      <c r="I156" s="74" t="s">
        <v>131</v>
      </c>
      <c r="J156" s="36" t="s">
        <v>118</v>
      </c>
      <c r="K156" s="70">
        <v>4</v>
      </c>
      <c r="L156" s="47" t="s">
        <v>15</v>
      </c>
      <c r="M156" s="12">
        <v>6.55</v>
      </c>
      <c r="N156" s="38">
        <v>1.7944444444444443</v>
      </c>
      <c r="O156" s="39">
        <v>1.99</v>
      </c>
      <c r="P156" s="38">
        <v>1.7799999999999996</v>
      </c>
      <c r="Q156" s="55">
        <f t="shared" si="79"/>
        <v>0</v>
      </c>
      <c r="R156" s="57">
        <f t="shared" ref="R156" si="130">Q156+R155</f>
        <v>105.45999999999998</v>
      </c>
      <c r="S156" s="113"/>
    </row>
    <row r="157" spans="2:19" outlineLevel="1" x14ac:dyDescent="0.2">
      <c r="B157" s="48">
        <f t="shared" si="14"/>
        <v>154</v>
      </c>
      <c r="C157" s="36" t="s">
        <v>312</v>
      </c>
      <c r="D157" s="86">
        <v>44157</v>
      </c>
      <c r="E157" s="36" t="s">
        <v>88</v>
      </c>
      <c r="F157" s="36" t="s">
        <v>28</v>
      </c>
      <c r="G157" s="70" t="s">
        <v>70</v>
      </c>
      <c r="H157" s="70">
        <v>1100</v>
      </c>
      <c r="I157" s="74" t="s">
        <v>131</v>
      </c>
      <c r="J157" s="36" t="s">
        <v>118</v>
      </c>
      <c r="K157" s="70">
        <v>2</v>
      </c>
      <c r="L157" s="47" t="s">
        <v>69</v>
      </c>
      <c r="M157" s="12">
        <v>3.95</v>
      </c>
      <c r="N157" s="38">
        <v>3.3944680851063831</v>
      </c>
      <c r="O157" s="39">
        <v>1.65</v>
      </c>
      <c r="P157" s="38">
        <v>0</v>
      </c>
      <c r="Q157" s="55">
        <f t="shared" si="79"/>
        <v>-3.4</v>
      </c>
      <c r="R157" s="57">
        <f t="shared" ref="R157" si="131">Q157+R156</f>
        <v>102.05999999999997</v>
      </c>
      <c r="S157" s="113"/>
    </row>
    <row r="158" spans="2:19" x14ac:dyDescent="0.2">
      <c r="B158" s="48">
        <f t="shared" si="14"/>
        <v>155</v>
      </c>
      <c r="C158" s="36" t="s">
        <v>313</v>
      </c>
      <c r="D158" s="86">
        <v>44158</v>
      </c>
      <c r="E158" s="36" t="s">
        <v>57</v>
      </c>
      <c r="F158" s="36" t="s">
        <v>37</v>
      </c>
      <c r="G158" s="70" t="s">
        <v>70</v>
      </c>
      <c r="H158" s="70">
        <v>1550</v>
      </c>
      <c r="I158" s="74" t="s">
        <v>132</v>
      </c>
      <c r="J158" s="36" t="s">
        <v>118</v>
      </c>
      <c r="K158" s="70">
        <v>5</v>
      </c>
      <c r="L158" s="47" t="s">
        <v>11</v>
      </c>
      <c r="M158" s="12">
        <v>3.08</v>
      </c>
      <c r="N158" s="38">
        <v>4.8278787878787872</v>
      </c>
      <c r="O158" s="39">
        <v>1.48</v>
      </c>
      <c r="P158" s="38">
        <v>0</v>
      </c>
      <c r="Q158" s="55">
        <f t="shared" si="79"/>
        <v>-4.8</v>
      </c>
      <c r="R158" s="57">
        <f t="shared" ref="R158" si="132">Q158+R157</f>
        <v>97.259999999999977</v>
      </c>
      <c r="S158" s="113"/>
    </row>
    <row r="159" spans="2:19" x14ac:dyDescent="0.2">
      <c r="B159" s="48">
        <f t="shared" si="14"/>
        <v>156</v>
      </c>
      <c r="C159" s="36" t="s">
        <v>315</v>
      </c>
      <c r="D159" s="86">
        <v>44159</v>
      </c>
      <c r="E159" s="36" t="s">
        <v>38</v>
      </c>
      <c r="F159" s="36" t="s">
        <v>13</v>
      </c>
      <c r="G159" s="70" t="s">
        <v>70</v>
      </c>
      <c r="H159" s="70">
        <v>1100</v>
      </c>
      <c r="I159" s="74" t="s">
        <v>130</v>
      </c>
      <c r="J159" s="36" t="s">
        <v>118</v>
      </c>
      <c r="K159" s="70">
        <v>8</v>
      </c>
      <c r="L159" s="47" t="s">
        <v>76</v>
      </c>
      <c r="M159" s="12">
        <v>26.37</v>
      </c>
      <c r="N159" s="38">
        <v>0.39235294117647057</v>
      </c>
      <c r="O159" s="39">
        <v>3.65</v>
      </c>
      <c r="P159" s="38">
        <v>0.15999999999999992</v>
      </c>
      <c r="Q159" s="55">
        <f t="shared" si="79"/>
        <v>-0.6</v>
      </c>
      <c r="R159" s="57">
        <f t="shared" ref="R159" si="133">Q159+R158</f>
        <v>96.659999999999982</v>
      </c>
      <c r="S159" s="113"/>
    </row>
    <row r="160" spans="2:19" x14ac:dyDescent="0.2">
      <c r="B160" s="48">
        <f t="shared" si="14"/>
        <v>157</v>
      </c>
      <c r="C160" s="36" t="s">
        <v>314</v>
      </c>
      <c r="D160" s="86">
        <v>44159</v>
      </c>
      <c r="E160" s="36" t="s">
        <v>38</v>
      </c>
      <c r="F160" s="36" t="s">
        <v>13</v>
      </c>
      <c r="G160" s="70" t="s">
        <v>70</v>
      </c>
      <c r="H160" s="70">
        <v>1100</v>
      </c>
      <c r="I160" s="74" t="s">
        <v>130</v>
      </c>
      <c r="J160" s="36" t="s">
        <v>118</v>
      </c>
      <c r="K160" s="70">
        <v>6</v>
      </c>
      <c r="L160" s="47" t="s">
        <v>11</v>
      </c>
      <c r="M160" s="12">
        <v>1.57</v>
      </c>
      <c r="N160" s="38">
        <v>17.592114467408582</v>
      </c>
      <c r="O160" s="39">
        <v>1.07</v>
      </c>
      <c r="P160" s="38">
        <v>0</v>
      </c>
      <c r="Q160" s="55">
        <f t="shared" si="79"/>
        <v>-17.600000000000001</v>
      </c>
      <c r="R160" s="57">
        <f t="shared" ref="R160" si="134">Q160+R159</f>
        <v>79.059999999999974</v>
      </c>
      <c r="S160" s="113"/>
    </row>
    <row r="161" spans="2:19" x14ac:dyDescent="0.2">
      <c r="B161" s="48">
        <f t="shared" si="14"/>
        <v>158</v>
      </c>
      <c r="C161" s="36" t="s">
        <v>274</v>
      </c>
      <c r="D161" s="86">
        <v>44160</v>
      </c>
      <c r="E161" s="36" t="s">
        <v>47</v>
      </c>
      <c r="F161" s="36" t="s">
        <v>13</v>
      </c>
      <c r="G161" s="70" t="s">
        <v>72</v>
      </c>
      <c r="H161" s="70">
        <v>1400</v>
      </c>
      <c r="I161" s="74" t="s">
        <v>131</v>
      </c>
      <c r="J161" s="36" t="s">
        <v>118</v>
      </c>
      <c r="K161" s="70">
        <v>4</v>
      </c>
      <c r="L161" s="47" t="s">
        <v>12</v>
      </c>
      <c r="M161" s="12">
        <v>32</v>
      </c>
      <c r="N161" s="38">
        <v>0.32290322580645164</v>
      </c>
      <c r="O161" s="39">
        <v>7.28</v>
      </c>
      <c r="P161" s="38">
        <v>4.6666666666666676E-2</v>
      </c>
      <c r="Q161" s="55">
        <f t="shared" si="79"/>
        <v>10.3</v>
      </c>
      <c r="R161" s="57">
        <f t="shared" ref="R161" si="135">Q161+R160</f>
        <v>89.359999999999971</v>
      </c>
      <c r="S161" s="113"/>
    </row>
    <row r="162" spans="2:19" x14ac:dyDescent="0.2">
      <c r="B162" s="48">
        <f t="shared" si="14"/>
        <v>159</v>
      </c>
      <c r="C162" s="36" t="s">
        <v>316</v>
      </c>
      <c r="D162" s="86">
        <v>44161</v>
      </c>
      <c r="E162" s="36" t="s">
        <v>44</v>
      </c>
      <c r="F162" s="36" t="s">
        <v>39</v>
      </c>
      <c r="G162" s="70" t="s">
        <v>70</v>
      </c>
      <c r="H162" s="70">
        <v>1000</v>
      </c>
      <c r="I162" s="74" t="s">
        <v>131</v>
      </c>
      <c r="J162" s="36" t="s">
        <v>118</v>
      </c>
      <c r="K162" s="70">
        <v>7</v>
      </c>
      <c r="L162" s="47" t="s">
        <v>12</v>
      </c>
      <c r="M162" s="12">
        <v>9.8000000000000007</v>
      </c>
      <c r="N162" s="38">
        <v>1.1331501831501831</v>
      </c>
      <c r="O162" s="39">
        <v>2.5</v>
      </c>
      <c r="P162" s="38">
        <v>0.74666666666666603</v>
      </c>
      <c r="Q162" s="55">
        <f t="shared" si="79"/>
        <v>11.1</v>
      </c>
      <c r="R162" s="57">
        <f t="shared" ref="R162" si="136">Q162+R161</f>
        <v>100.45999999999997</v>
      </c>
      <c r="S162" s="113"/>
    </row>
    <row r="163" spans="2:19" x14ac:dyDescent="0.2">
      <c r="B163" s="48">
        <f t="shared" si="14"/>
        <v>160</v>
      </c>
      <c r="C163" s="36" t="s">
        <v>317</v>
      </c>
      <c r="D163" s="86">
        <v>44161</v>
      </c>
      <c r="E163" s="36" t="s">
        <v>44</v>
      </c>
      <c r="F163" s="36" t="s">
        <v>13</v>
      </c>
      <c r="G163" s="70" t="s">
        <v>70</v>
      </c>
      <c r="H163" s="70">
        <v>1000</v>
      </c>
      <c r="I163" s="74" t="s">
        <v>131</v>
      </c>
      <c r="J163" s="36" t="s">
        <v>118</v>
      </c>
      <c r="K163" s="70">
        <v>3</v>
      </c>
      <c r="L163" s="47" t="s">
        <v>11</v>
      </c>
      <c r="M163" s="12">
        <v>1.51</v>
      </c>
      <c r="N163" s="38">
        <v>19.704124168514415</v>
      </c>
      <c r="O163" s="39">
        <v>1.06</v>
      </c>
      <c r="P163" s="38">
        <v>0</v>
      </c>
      <c r="Q163" s="55">
        <f t="shared" si="79"/>
        <v>-19.7</v>
      </c>
      <c r="R163" s="57">
        <f t="shared" ref="R163" si="137">Q163+R162</f>
        <v>80.759999999999962</v>
      </c>
      <c r="S163" s="113"/>
    </row>
    <row r="164" spans="2:19" x14ac:dyDescent="0.2">
      <c r="B164" s="48">
        <f t="shared" si="14"/>
        <v>161</v>
      </c>
      <c r="C164" s="36" t="s">
        <v>318</v>
      </c>
      <c r="D164" s="86">
        <v>44161</v>
      </c>
      <c r="E164" s="36" t="s">
        <v>49</v>
      </c>
      <c r="F164" s="36" t="s">
        <v>13</v>
      </c>
      <c r="G164" s="70" t="s">
        <v>70</v>
      </c>
      <c r="H164" s="70">
        <v>1400</v>
      </c>
      <c r="I164" s="74" t="s">
        <v>131</v>
      </c>
      <c r="J164" s="36" t="s">
        <v>118</v>
      </c>
      <c r="K164" s="70">
        <v>5</v>
      </c>
      <c r="L164" s="47" t="s">
        <v>12</v>
      </c>
      <c r="M164" s="12">
        <v>4</v>
      </c>
      <c r="N164" s="38">
        <v>3.3200000000000003</v>
      </c>
      <c r="O164" s="39">
        <v>1.61</v>
      </c>
      <c r="P164" s="38">
        <v>0</v>
      </c>
      <c r="Q164" s="55">
        <f t="shared" si="79"/>
        <v>10</v>
      </c>
      <c r="R164" s="57">
        <f t="shared" ref="R164:R165" si="138">Q164+R163</f>
        <v>90.759999999999962</v>
      </c>
      <c r="S164" s="113"/>
    </row>
    <row r="165" spans="2:19" x14ac:dyDescent="0.2">
      <c r="B165" s="48">
        <f t="shared" si="14"/>
        <v>162</v>
      </c>
      <c r="C165" s="36" t="s">
        <v>89</v>
      </c>
      <c r="D165" s="86">
        <v>44162</v>
      </c>
      <c r="E165" s="36" t="s">
        <v>18</v>
      </c>
      <c r="F165" s="36" t="s">
        <v>13</v>
      </c>
      <c r="G165" s="70" t="s">
        <v>70</v>
      </c>
      <c r="H165" s="70">
        <v>1000</v>
      </c>
      <c r="I165" s="74" t="s">
        <v>131</v>
      </c>
      <c r="J165" s="36" t="s">
        <v>118</v>
      </c>
      <c r="K165" s="70">
        <v>3</v>
      </c>
      <c r="L165" s="47" t="s">
        <v>12</v>
      </c>
      <c r="M165" s="12">
        <v>1.59</v>
      </c>
      <c r="N165" s="38">
        <v>16.917894736842104</v>
      </c>
      <c r="O165" s="39">
        <v>1.08</v>
      </c>
      <c r="P165" s="38">
        <v>0</v>
      </c>
      <c r="Q165" s="55">
        <f t="shared" si="79"/>
        <v>10</v>
      </c>
      <c r="R165" s="57">
        <f t="shared" si="138"/>
        <v>100.75999999999996</v>
      </c>
      <c r="S165" s="113"/>
    </row>
    <row r="166" spans="2:19" x14ac:dyDescent="0.2">
      <c r="B166" s="48">
        <f t="shared" si="14"/>
        <v>163</v>
      </c>
      <c r="C166" s="36" t="s">
        <v>321</v>
      </c>
      <c r="D166" s="86">
        <v>44162</v>
      </c>
      <c r="E166" s="36" t="s">
        <v>18</v>
      </c>
      <c r="F166" s="36" t="s">
        <v>13</v>
      </c>
      <c r="G166" s="70" t="s">
        <v>70</v>
      </c>
      <c r="H166" s="70">
        <v>1000</v>
      </c>
      <c r="I166" s="74" t="s">
        <v>131</v>
      </c>
      <c r="J166" s="36" t="s">
        <v>118</v>
      </c>
      <c r="K166" s="70">
        <v>4</v>
      </c>
      <c r="L166" s="47" t="s">
        <v>15</v>
      </c>
      <c r="M166" s="12">
        <v>10.47</v>
      </c>
      <c r="N166" s="38">
        <v>1.0573684210526315</v>
      </c>
      <c r="O166" s="39">
        <v>1.53</v>
      </c>
      <c r="P166" s="38">
        <v>0</v>
      </c>
      <c r="Q166" s="55">
        <f t="shared" si="79"/>
        <v>-1.1000000000000001</v>
      </c>
      <c r="R166" s="57">
        <f t="shared" ref="R166" si="139">Q166+R165</f>
        <v>99.659999999999968</v>
      </c>
      <c r="S166" s="113"/>
    </row>
    <row r="167" spans="2:19" x14ac:dyDescent="0.2">
      <c r="B167" s="48">
        <f t="shared" si="14"/>
        <v>164</v>
      </c>
      <c r="C167" s="36" t="s">
        <v>322</v>
      </c>
      <c r="D167" s="86">
        <v>44162</v>
      </c>
      <c r="E167" s="36" t="s">
        <v>18</v>
      </c>
      <c r="F167" s="36" t="s">
        <v>13</v>
      </c>
      <c r="G167" s="70" t="s">
        <v>70</v>
      </c>
      <c r="H167" s="70">
        <v>1000</v>
      </c>
      <c r="I167" s="74" t="s">
        <v>131</v>
      </c>
      <c r="J167" s="36" t="s">
        <v>118</v>
      </c>
      <c r="K167" s="70">
        <v>8</v>
      </c>
      <c r="L167" s="47" t="s">
        <v>11</v>
      </c>
      <c r="M167" s="12">
        <v>4.2</v>
      </c>
      <c r="N167" s="38">
        <v>3.1123076923076924</v>
      </c>
      <c r="O167" s="39">
        <v>1.17</v>
      </c>
      <c r="P167" s="38">
        <v>0</v>
      </c>
      <c r="Q167" s="55">
        <f t="shared" si="79"/>
        <v>-3.1</v>
      </c>
      <c r="R167" s="57">
        <f t="shared" ref="R167" si="140">Q167+R166</f>
        <v>96.559999999999974</v>
      </c>
      <c r="S167" s="113"/>
    </row>
    <row r="168" spans="2:19" x14ac:dyDescent="0.2">
      <c r="B168" s="48">
        <f t="shared" si="14"/>
        <v>165</v>
      </c>
      <c r="C168" s="36" t="s">
        <v>324</v>
      </c>
      <c r="D168" s="86">
        <v>44163</v>
      </c>
      <c r="E168" s="36" t="s">
        <v>80</v>
      </c>
      <c r="F168" s="36" t="s">
        <v>28</v>
      </c>
      <c r="G168" s="70" t="s">
        <v>70</v>
      </c>
      <c r="H168" s="70">
        <v>1000</v>
      </c>
      <c r="I168" s="74" t="s">
        <v>131</v>
      </c>
      <c r="J168" s="36" t="s">
        <v>118</v>
      </c>
      <c r="K168" s="70">
        <v>4</v>
      </c>
      <c r="L168" s="47" t="s">
        <v>69</v>
      </c>
      <c r="M168" s="12">
        <v>7.91</v>
      </c>
      <c r="N168" s="38">
        <v>1.4531428571428568</v>
      </c>
      <c r="O168" s="39">
        <v>2.44</v>
      </c>
      <c r="P168" s="38">
        <v>0.97666666666666657</v>
      </c>
      <c r="Q168" s="55">
        <f t="shared" si="79"/>
        <v>-2.4</v>
      </c>
      <c r="R168" s="57">
        <f t="shared" ref="R168" si="141">Q168+R167</f>
        <v>94.159999999999968</v>
      </c>
      <c r="S168" s="113"/>
    </row>
    <row r="169" spans="2:19" x14ac:dyDescent="0.2">
      <c r="B169" s="48">
        <f t="shared" si="14"/>
        <v>166</v>
      </c>
      <c r="C169" s="36" t="s">
        <v>323</v>
      </c>
      <c r="D169" s="86">
        <v>44163</v>
      </c>
      <c r="E169" s="36" t="s">
        <v>80</v>
      </c>
      <c r="F169" s="36" t="s">
        <v>39</v>
      </c>
      <c r="G169" s="70" t="s">
        <v>70</v>
      </c>
      <c r="H169" s="70">
        <v>1200</v>
      </c>
      <c r="I169" s="74" t="s">
        <v>131</v>
      </c>
      <c r="J169" s="36" t="s">
        <v>118</v>
      </c>
      <c r="K169" s="70">
        <v>7</v>
      </c>
      <c r="L169" s="47" t="s">
        <v>12</v>
      </c>
      <c r="M169" s="12">
        <v>1.8</v>
      </c>
      <c r="N169" s="38">
        <v>12.44923076923077</v>
      </c>
      <c r="O169" s="39">
        <v>1.1599999999999999</v>
      </c>
      <c r="P169" s="38">
        <v>0</v>
      </c>
      <c r="Q169" s="55">
        <f t="shared" si="79"/>
        <v>10</v>
      </c>
      <c r="R169" s="57">
        <f t="shared" ref="R169" si="142">Q169+R168</f>
        <v>104.15999999999997</v>
      </c>
      <c r="S169" s="113"/>
    </row>
    <row r="170" spans="2:19" x14ac:dyDescent="0.2">
      <c r="B170" s="48">
        <f t="shared" si="14"/>
        <v>167</v>
      </c>
      <c r="C170" s="36" t="s">
        <v>283</v>
      </c>
      <c r="D170" s="86">
        <v>44163</v>
      </c>
      <c r="E170" s="36" t="s">
        <v>80</v>
      </c>
      <c r="F170" s="36" t="s">
        <v>13</v>
      </c>
      <c r="G170" s="70" t="s">
        <v>70</v>
      </c>
      <c r="H170" s="70">
        <v>1500</v>
      </c>
      <c r="I170" s="74" t="s">
        <v>131</v>
      </c>
      <c r="J170" s="36" t="s">
        <v>118</v>
      </c>
      <c r="K170" s="70">
        <v>6</v>
      </c>
      <c r="L170" s="47" t="s">
        <v>12</v>
      </c>
      <c r="M170" s="12">
        <v>1.64</v>
      </c>
      <c r="N170" s="38">
        <v>15.670243902439026</v>
      </c>
      <c r="O170" s="39">
        <v>1.1299999999999999</v>
      </c>
      <c r="P170" s="38">
        <v>0</v>
      </c>
      <c r="Q170" s="55">
        <f t="shared" si="79"/>
        <v>10</v>
      </c>
      <c r="R170" s="57">
        <f t="shared" ref="R170" si="143">Q170+R169</f>
        <v>114.15999999999997</v>
      </c>
      <c r="S170" s="113"/>
    </row>
    <row r="171" spans="2:19" x14ac:dyDescent="0.2">
      <c r="B171" s="48">
        <f t="shared" si="14"/>
        <v>168</v>
      </c>
      <c r="C171" s="36" t="s">
        <v>332</v>
      </c>
      <c r="D171" s="86">
        <v>44164</v>
      </c>
      <c r="E171" s="36" t="s">
        <v>63</v>
      </c>
      <c r="F171" s="36" t="s">
        <v>39</v>
      </c>
      <c r="G171" s="70" t="s">
        <v>70</v>
      </c>
      <c r="H171" s="70">
        <v>1100</v>
      </c>
      <c r="I171" s="74" t="s">
        <v>130</v>
      </c>
      <c r="J171" s="36" t="s">
        <v>118</v>
      </c>
      <c r="K171" s="70">
        <v>6</v>
      </c>
      <c r="L171" s="47" t="s">
        <v>12</v>
      </c>
      <c r="M171" s="12">
        <v>3.16</v>
      </c>
      <c r="N171" s="38">
        <v>4.6294117647058828</v>
      </c>
      <c r="O171" s="39">
        <v>1.43</v>
      </c>
      <c r="P171" s="38">
        <v>0</v>
      </c>
      <c r="Q171" s="55">
        <f t="shared" si="79"/>
        <v>10</v>
      </c>
      <c r="R171" s="57">
        <f t="shared" ref="R171" si="144">Q171+R170</f>
        <v>124.15999999999997</v>
      </c>
      <c r="S171" s="113"/>
    </row>
    <row r="172" spans="2:19" hidden="1" outlineLevel="1" x14ac:dyDescent="0.2">
      <c r="B172" s="87"/>
      <c r="C172" s="88"/>
      <c r="D172" s="89"/>
      <c r="E172" s="88"/>
      <c r="F172" s="88"/>
      <c r="G172" s="90"/>
      <c r="H172" s="90"/>
      <c r="I172" s="90"/>
      <c r="J172" s="88"/>
      <c r="K172" s="90"/>
      <c r="L172" s="91"/>
      <c r="M172" s="91"/>
      <c r="N172" s="91"/>
      <c r="O172" s="91"/>
      <c r="P172" s="91"/>
      <c r="Q172" s="92"/>
      <c r="R172" s="93" t="s">
        <v>204</v>
      </c>
      <c r="S172" s="113"/>
    </row>
    <row r="173" spans="2:19" hidden="1" outlineLevel="1" x14ac:dyDescent="0.2">
      <c r="B173" s="87"/>
      <c r="C173" s="88"/>
      <c r="D173" s="89"/>
      <c r="E173" s="88"/>
      <c r="F173" s="88"/>
      <c r="G173" s="90"/>
      <c r="H173" s="90"/>
      <c r="I173" s="90"/>
      <c r="J173" s="88"/>
      <c r="K173" s="90"/>
      <c r="L173" s="91"/>
      <c r="M173" s="91"/>
      <c r="N173" s="91"/>
      <c r="O173" s="91"/>
      <c r="P173" s="91"/>
      <c r="Q173" s="92"/>
      <c r="R173" s="93" t="s">
        <v>205</v>
      </c>
      <c r="S173" s="113"/>
    </row>
    <row r="174" spans="2:19" hidden="1" outlineLevel="1" x14ac:dyDescent="0.2">
      <c r="B174" s="87"/>
      <c r="C174" s="88"/>
      <c r="D174" s="89"/>
      <c r="E174" s="88"/>
      <c r="F174" s="88"/>
      <c r="G174" s="90"/>
      <c r="H174" s="90"/>
      <c r="I174" s="90"/>
      <c r="J174" s="88"/>
      <c r="K174" s="90"/>
      <c r="L174" s="91"/>
      <c r="M174" s="91"/>
      <c r="N174" s="91"/>
      <c r="O174" s="91"/>
      <c r="P174" s="91"/>
      <c r="Q174" s="92"/>
      <c r="R174" s="93" t="s">
        <v>215</v>
      </c>
      <c r="S174" s="113"/>
    </row>
    <row r="175" spans="2:19" collapsed="1" x14ac:dyDescent="0.2">
      <c r="B175" s="87"/>
      <c r="C175" s="88"/>
      <c r="D175" s="89"/>
      <c r="E175" s="88"/>
      <c r="F175" s="88"/>
      <c r="G175" s="90"/>
      <c r="H175" s="90"/>
      <c r="I175" s="90"/>
      <c r="J175" s="88"/>
      <c r="K175" s="90"/>
      <c r="L175" s="91"/>
      <c r="M175" s="91"/>
      <c r="N175" s="91"/>
      <c r="O175" s="91"/>
      <c r="P175" s="91"/>
      <c r="Q175" s="92"/>
      <c r="R175" s="93"/>
      <c r="S175" s="113"/>
    </row>
    <row r="176" spans="2:19" x14ac:dyDescent="0.2">
      <c r="K176" s="2"/>
    </row>
  </sheetData>
  <sheetProtection algorithmName="SHA-512" hashValue="wNnr9TrpDkyDK7rrV2SabhOW7i15G+qs14doJ4G7kSkdQmyu0ehpkn8kQMkT7Zuy4emMqETJNyW5lVvBJFpxFA==" saltValue="kpTYQA39/qiTs87D3LIF8g==" spinCount="100000" sheet="1" objects="1" scenarios="1"/>
  <dataConsolidate/>
  <mergeCells count="1">
    <mergeCell ref="M2:R2"/>
  </mergeCells>
  <pageMargins left="0.7" right="0.7" top="0.75" bottom="0.75" header="0" footer="0"/>
  <pageSetup paperSize="9" scale="4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82CA-8F41-294A-8758-93B6B510C275}">
  <sheetPr>
    <tabColor rgb="FF00B050"/>
  </sheetPr>
  <dimension ref="A1:U41"/>
  <sheetViews>
    <sheetView showGridLines="0" topLeftCell="A3" zoomScale="118" zoomScaleNormal="150" workbookViewId="0">
      <selection activeCell="Q35" sqref="Q35"/>
    </sheetView>
  </sheetViews>
  <sheetFormatPr baseColWidth="10" defaultColWidth="14.5" defaultRowHeight="16" outlineLevelRow="2" outlineLevelCol="1" x14ac:dyDescent="0.2"/>
  <cols>
    <col min="1" max="1" width="3.5" style="2" customWidth="1"/>
    <col min="2" max="2" width="18.1640625" style="2" bestFit="1" customWidth="1"/>
    <col min="3" max="3" width="10.83203125" style="2" bestFit="1" customWidth="1"/>
    <col min="4" max="5" width="10.83203125" style="2" customWidth="1"/>
    <col min="6" max="6" width="3.6640625" style="2" hidden="1" customWidth="1" outlineLevel="1"/>
    <col min="7" max="7" width="10.83203125" style="2" hidden="1" customWidth="1" outlineLevel="1"/>
    <col min="8" max="8" width="1" style="2" customWidth="1" collapsed="1"/>
    <col min="9" max="9" width="3.83203125" style="2" customWidth="1"/>
    <col min="10" max="10" width="18.1640625" style="2" bestFit="1" customWidth="1"/>
    <col min="11" max="11" width="14.83203125" style="2" customWidth="1"/>
    <col min="12" max="12" width="14.83203125" style="2" bestFit="1" customWidth="1"/>
    <col min="13" max="13" width="1" style="2" customWidth="1"/>
    <col min="14" max="15" width="5" style="2" customWidth="1"/>
    <col min="16" max="16" width="16" style="2" bestFit="1" customWidth="1"/>
    <col min="17" max="17" width="15.5" style="2" bestFit="1" customWidth="1"/>
    <col min="18" max="18" width="3.5" style="2" customWidth="1"/>
    <col min="19" max="19" width="16" style="2" bestFit="1" customWidth="1"/>
    <col min="20" max="20" width="15.5" style="2" bestFit="1" customWidth="1"/>
    <col min="21" max="21" width="3.5" style="2" customWidth="1"/>
    <col min="22" max="16384" width="14.5" style="2"/>
  </cols>
  <sheetData>
    <row r="1" spans="1:21" hidden="1" outlineLevel="2" x14ac:dyDescent="0.2">
      <c r="B1" s="66" t="s">
        <v>109</v>
      </c>
      <c r="D1" s="42">
        <v>44105</v>
      </c>
      <c r="E1" s="42">
        <v>44136</v>
      </c>
      <c r="F1" s="42"/>
      <c r="G1" s="42">
        <f ca="1">G2-31</f>
        <v>44134</v>
      </c>
      <c r="J1" s="17"/>
      <c r="K1" s="13"/>
      <c r="L1" s="13"/>
    </row>
    <row r="2" spans="1:21" hidden="1" outlineLevel="2" x14ac:dyDescent="0.2">
      <c r="B2" s="66" t="s">
        <v>110</v>
      </c>
      <c r="D2" s="42">
        <v>44135</v>
      </c>
      <c r="E2" s="42">
        <v>44165</v>
      </c>
      <c r="F2" s="42"/>
      <c r="G2" s="42">
        <f ca="1">TODAY()</f>
        <v>44165</v>
      </c>
      <c r="J2" s="17"/>
      <c r="K2" s="13"/>
      <c r="L2" s="13"/>
    </row>
    <row r="3" spans="1:21" ht="17" collapsed="1" thickBo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6" customHeight="1" x14ac:dyDescent="0.2">
      <c r="A4" s="41"/>
      <c r="B4" s="131" t="s">
        <v>232</v>
      </c>
      <c r="C4" s="132"/>
      <c r="D4" s="132"/>
      <c r="E4" s="132"/>
      <c r="F4" s="132"/>
      <c r="G4" s="132"/>
      <c r="H4" s="133"/>
      <c r="I4" s="41"/>
      <c r="J4" s="147" t="s">
        <v>299</v>
      </c>
      <c r="K4" s="148"/>
      <c r="L4" s="148"/>
      <c r="M4" s="149"/>
      <c r="N4" s="41"/>
      <c r="O4" s="41"/>
      <c r="P4" s="139" t="s">
        <v>351</v>
      </c>
      <c r="Q4" s="139"/>
      <c r="R4" s="139"/>
      <c r="S4" s="139"/>
      <c r="T4" s="139"/>
      <c r="U4" s="41"/>
    </row>
    <row r="5" spans="1:21" ht="17" customHeight="1" thickBot="1" x14ac:dyDescent="0.25">
      <c r="A5" s="41"/>
      <c r="B5" s="134"/>
      <c r="C5" s="135"/>
      <c r="D5" s="135"/>
      <c r="E5" s="135"/>
      <c r="F5" s="135"/>
      <c r="G5" s="135"/>
      <c r="H5" s="136"/>
      <c r="I5" s="41"/>
      <c r="J5" s="150"/>
      <c r="K5" s="151"/>
      <c r="L5" s="151"/>
      <c r="M5" s="152"/>
      <c r="N5" s="41"/>
      <c r="O5" s="41"/>
      <c r="P5" s="139"/>
      <c r="Q5" s="139"/>
      <c r="R5" s="139"/>
      <c r="S5" s="139"/>
      <c r="T5" s="139"/>
      <c r="U5" s="41"/>
    </row>
    <row r="6" spans="1:21" ht="17" hidden="1" customHeight="1" outlineLevel="1" x14ac:dyDescent="0.2">
      <c r="A6" s="41"/>
      <c r="B6" s="75"/>
      <c r="C6" s="77"/>
      <c r="D6" s="77"/>
      <c r="E6" s="77"/>
      <c r="F6" s="77"/>
      <c r="G6" s="77"/>
      <c r="H6" s="98"/>
      <c r="I6" s="41"/>
      <c r="J6" s="75"/>
      <c r="K6" s="77" t="s">
        <v>77</v>
      </c>
      <c r="L6" s="77" t="s">
        <v>228</v>
      </c>
      <c r="M6" s="98"/>
      <c r="N6" s="41"/>
      <c r="O6" s="41"/>
      <c r="P6" s="41"/>
      <c r="Q6" s="41"/>
      <c r="R6" s="41"/>
      <c r="S6" s="41"/>
      <c r="T6" s="41"/>
      <c r="U6" s="41"/>
    </row>
    <row r="7" spans="1:21" ht="16" customHeight="1" collapsed="1" x14ac:dyDescent="0.2">
      <c r="A7" s="41"/>
      <c r="B7" s="137" t="s">
        <v>67</v>
      </c>
      <c r="C7" s="23" t="s">
        <v>20</v>
      </c>
      <c r="D7" s="23" t="s">
        <v>197</v>
      </c>
      <c r="E7" s="23" t="s">
        <v>218</v>
      </c>
      <c r="F7" s="23"/>
      <c r="G7" s="23" t="s">
        <v>235</v>
      </c>
      <c r="H7" s="18"/>
      <c r="I7" s="41"/>
      <c r="J7" s="137" t="s">
        <v>67</v>
      </c>
      <c r="K7" s="23" t="s">
        <v>229</v>
      </c>
      <c r="L7" s="23" t="s">
        <v>231</v>
      </c>
      <c r="M7" s="18"/>
      <c r="N7" s="41"/>
      <c r="O7" s="41"/>
      <c r="P7" s="41"/>
      <c r="Q7" s="41"/>
      <c r="R7" s="41"/>
      <c r="S7" s="41"/>
      <c r="T7" s="41"/>
      <c r="U7" s="41"/>
    </row>
    <row r="8" spans="1:21" ht="16" customHeight="1" thickBot="1" x14ac:dyDescent="0.25">
      <c r="A8" s="41"/>
      <c r="B8" s="137"/>
      <c r="C8" s="69">
        <f ca="1">SUM(D8:H8)-G8</f>
        <v>63</v>
      </c>
      <c r="D8" s="16">
        <f>COUNTIFS('Tips Results'!$E:$E,"&gt;="&amp;D$1,'Tips Results'!$E:$E,"&lt;="&amp;D$2,'Tips Results'!$I:$I,"&gt;"&amp;"0")</f>
        <v>10</v>
      </c>
      <c r="E8" s="16">
        <f>COUNTIFS('Tips Results'!$E:$E,"&gt;="&amp;E$1,'Tips Results'!$E:$E,"&lt;="&amp;E$2,'Tips Results'!$I:$I,"&gt;"&amp;"0")</f>
        <v>53</v>
      </c>
      <c r="F8" s="21"/>
      <c r="G8" s="16">
        <f ca="1">COUNTIFS('Tips Results'!$E:$E,"&gt;="&amp;G$1,'Tips Results'!$E:$E,"&lt;="&amp;G$2,'Tips Results'!$I:$I,"&gt;"&amp;"0")</f>
        <v>63</v>
      </c>
      <c r="H8" s="4"/>
      <c r="I8" s="41"/>
      <c r="J8" s="137"/>
      <c r="K8" s="16">
        <f>COUNTIFS('Tips Results'!$D:$D,K6,'Tips Results'!$I:$I,"&gt;"&amp;0)</f>
        <v>38</v>
      </c>
      <c r="L8" s="16">
        <v>25</v>
      </c>
      <c r="M8" s="18"/>
      <c r="N8" s="41"/>
      <c r="O8" s="41"/>
      <c r="P8" s="138" t="s">
        <v>347</v>
      </c>
      <c r="Q8" s="138"/>
      <c r="R8" s="41"/>
      <c r="S8" s="138" t="s">
        <v>348</v>
      </c>
      <c r="T8" s="138"/>
      <c r="U8" s="41"/>
    </row>
    <row r="9" spans="1:21" x14ac:dyDescent="0.2">
      <c r="A9" s="41"/>
      <c r="B9" s="14" t="s">
        <v>12</v>
      </c>
      <c r="C9" s="15">
        <f ca="1">SUM(D9:H9)-G9</f>
        <v>15</v>
      </c>
      <c r="D9" s="15">
        <f>COUNTIFS('Tips Results'!$E:$E,"&gt;="&amp;D$1,'Tips Results'!$E:$E,"&lt;="&amp;D$2,'Tips Results'!$L:$L,$B9)</f>
        <v>1</v>
      </c>
      <c r="E9" s="15">
        <f>COUNTIFS('Tips Results'!$E:$E,"&gt;="&amp;E$1,'Tips Results'!$E:$E,"&lt;="&amp;E$2,'Tips Results'!$L:$L,$B9)</f>
        <v>14</v>
      </c>
      <c r="F9" s="15"/>
      <c r="G9" s="15">
        <f ca="1">COUNTIFS('Tips Results'!$E:$E,"&gt;="&amp;G$1,'Tips Results'!$E:$E,"&lt;="&amp;G$2,'Tips Results'!$L:$L,$B9)</f>
        <v>15</v>
      </c>
      <c r="H9" s="4"/>
      <c r="I9" s="41"/>
      <c r="J9" s="20" t="s">
        <v>12</v>
      </c>
      <c r="K9" s="21">
        <f>COUNTIFS('Tips Results'!$D:$D,K$6,'Tips Results'!$L:$L,$J9)</f>
        <v>7</v>
      </c>
      <c r="L9" s="21">
        <f>COUNTIFS('Tips Results'!$D:$D,L$6,'Tips Results'!$L:$L,$J9)</f>
        <v>8</v>
      </c>
      <c r="M9" s="18"/>
      <c r="N9" s="41"/>
      <c r="O9" s="41"/>
      <c r="P9" s="40"/>
      <c r="Q9" s="125"/>
      <c r="R9" s="41"/>
      <c r="S9" s="41"/>
      <c r="T9" s="41"/>
      <c r="U9" s="41"/>
    </row>
    <row r="10" spans="1:21" x14ac:dyDescent="0.2">
      <c r="A10" s="41"/>
      <c r="B10" s="14" t="s">
        <v>15</v>
      </c>
      <c r="C10" s="15">
        <f t="shared" ref="C10:C13" ca="1" si="0">SUM(D10:H10)-G10</f>
        <v>8</v>
      </c>
      <c r="D10" s="15">
        <f>COUNTIFS('Tips Results'!$E:$E,"&gt;="&amp;D$1,'Tips Results'!$E:$E,"&lt;="&amp;D$2,'Tips Results'!$L:$L,$B10)</f>
        <v>0</v>
      </c>
      <c r="E10" s="15">
        <f>COUNTIFS('Tips Results'!$E:$E,"&gt;="&amp;E$1,'Tips Results'!$E:$E,"&lt;="&amp;E$2,'Tips Results'!$L:$L,$B10)</f>
        <v>8</v>
      </c>
      <c r="F10" s="15"/>
      <c r="G10" s="15">
        <f ca="1">COUNTIFS('Tips Results'!$E:$E,"&gt;="&amp;G$1,'Tips Results'!$E:$E,"&lt;="&amp;G$2,'Tips Results'!$L:$L,$B10)</f>
        <v>8</v>
      </c>
      <c r="H10" s="4"/>
      <c r="I10" s="41"/>
      <c r="J10" s="20" t="s">
        <v>15</v>
      </c>
      <c r="K10" s="21">
        <f>COUNTIFS('Tips Results'!$D:$D,K$6,'Tips Results'!$L:$L,$J10)</f>
        <v>4</v>
      </c>
      <c r="L10" s="21">
        <f>COUNTIFS('Tips Results'!$D:$D,L$6,'Tips Results'!$L:$L,$J10)</f>
        <v>4</v>
      </c>
      <c r="M10" s="18"/>
      <c r="N10" s="41"/>
      <c r="O10" s="41"/>
      <c r="P10" s="40" t="str">
        <f>ROUND($L$8,0)&amp;" runners | "</f>
        <v xml:space="preserve">25 runners | </v>
      </c>
      <c r="Q10" s="125" t="str">
        <f>ROUND($L$9,0)&amp;"x wins ("&amp;(ROUND($L$15,2)*100)&amp;"%)"</f>
        <v>8x wins (32%)</v>
      </c>
      <c r="R10" s="41"/>
      <c r="S10" s="40" t="str">
        <f>ROUND($K$8,0)&amp;" runners | "</f>
        <v xml:space="preserve">38 runners | </v>
      </c>
      <c r="T10" s="125" t="str">
        <f>ROUND($K$9,0)&amp;"x wins ("&amp;(ROUND($K$15,2)*100)&amp;"%)"</f>
        <v>7x wins (18%)</v>
      </c>
      <c r="U10" s="41"/>
    </row>
    <row r="11" spans="1:21" x14ac:dyDescent="0.2">
      <c r="A11" s="41"/>
      <c r="B11" s="14" t="s">
        <v>11</v>
      </c>
      <c r="C11" s="15">
        <f t="shared" ca="1" si="0"/>
        <v>9</v>
      </c>
      <c r="D11" s="15">
        <f>COUNTIFS('Tips Results'!$E:$E,"&gt;="&amp;D$1,'Tips Results'!$E:$E,"&lt;="&amp;D$2,'Tips Results'!$L:$L,$B11)</f>
        <v>3</v>
      </c>
      <c r="E11" s="15">
        <f>COUNTIFS('Tips Results'!$E:$E,"&gt;="&amp;E$1,'Tips Results'!$E:$E,"&lt;="&amp;E$2,'Tips Results'!$L:$L,$B11)</f>
        <v>6</v>
      </c>
      <c r="F11" s="15"/>
      <c r="G11" s="15">
        <f ca="1">COUNTIFS('Tips Results'!$E:$E,"&gt;="&amp;G$1,'Tips Results'!$E:$E,"&lt;="&amp;G$2,'Tips Results'!$L:$L,$B11)</f>
        <v>9</v>
      </c>
      <c r="H11" s="4"/>
      <c r="I11" s="41"/>
      <c r="J11" s="20" t="s">
        <v>11</v>
      </c>
      <c r="K11" s="21">
        <f>COUNTIFS('Tips Results'!$D:$D,K$6,'Tips Results'!$L:$L,$J11)</f>
        <v>4</v>
      </c>
      <c r="L11" s="21">
        <f>COUNTIFS('Tips Results'!$D:$D,L$6,'Tips Results'!$L:$L,$J11)</f>
        <v>5</v>
      </c>
      <c r="M11" s="18"/>
      <c r="N11" s="41"/>
      <c r="O11" s="41"/>
      <c r="P11" s="40" t="str">
        <f>" | "</f>
        <v xml:space="preserve"> | </v>
      </c>
      <c r="Q11" s="125" t="str">
        <f>ROUND(($L$10+$L$11),0)&amp;"x placings ("&amp;(ROUND($L$16,2)*100)&amp;"%)"</f>
        <v>9x placings (68%)</v>
      </c>
      <c r="R11" s="41"/>
      <c r="S11" s="40" t="str">
        <f>" | "</f>
        <v xml:space="preserve"> | </v>
      </c>
      <c r="T11" s="125" t="str">
        <f>ROUND(($K$10+$K$11),0)&amp;"x placings ("&amp;(ROUND($K$16,2)*100)&amp;"%)"</f>
        <v>8x placings (39%)</v>
      </c>
      <c r="U11" s="41"/>
    </row>
    <row r="12" spans="1:21" x14ac:dyDescent="0.2">
      <c r="A12" s="41"/>
      <c r="B12" s="14" t="s">
        <v>61</v>
      </c>
      <c r="C12" s="15">
        <f t="shared" ca="1" si="0"/>
        <v>10</v>
      </c>
      <c r="D12" s="15">
        <f>COUNTIFS('Tips Results'!$E:$E,"&gt;="&amp;D$1,'Tips Results'!$E:$E,"&lt;="&amp;D$2,'Tips Results'!$L:$L,$B12)</f>
        <v>2</v>
      </c>
      <c r="E12" s="15">
        <f>COUNTIFS('Tips Results'!$E:$E,"&gt;="&amp;E$1,'Tips Results'!$E:$E,"&lt;="&amp;E$2,'Tips Results'!$L:$L,$B12)</f>
        <v>8</v>
      </c>
      <c r="F12" s="15"/>
      <c r="G12" s="15">
        <f ca="1">COUNTIFS('Tips Results'!$E:$E,"&gt;="&amp;G$1,'Tips Results'!$E:$E,"&lt;="&amp;G$2,'Tips Results'!$L:$L,$B12)</f>
        <v>10</v>
      </c>
      <c r="H12" s="4"/>
      <c r="I12" s="41"/>
      <c r="J12" s="20" t="s">
        <v>61</v>
      </c>
      <c r="K12" s="21">
        <f>COUNTIFS('Tips Results'!$D:$D,K$6,'Tips Results'!$L:$L,$J12)</f>
        <v>7</v>
      </c>
      <c r="L12" s="21">
        <f>COUNTIFS('Tips Results'!$D:$D,L$6,'Tips Results'!$L:$L,$J12)</f>
        <v>3</v>
      </c>
      <c r="M12" s="18"/>
      <c r="N12" s="41"/>
      <c r="O12" s="41"/>
      <c r="P12" s="41"/>
      <c r="Q12" s="41"/>
      <c r="R12" s="41"/>
      <c r="S12" s="41"/>
      <c r="T12" s="41"/>
      <c r="U12" s="41"/>
    </row>
    <row r="13" spans="1:21" x14ac:dyDescent="0.2">
      <c r="A13" s="41"/>
      <c r="B13" s="14" t="s">
        <v>10</v>
      </c>
      <c r="C13" s="15">
        <f t="shared" ca="1" si="0"/>
        <v>21</v>
      </c>
      <c r="D13" s="15">
        <f>D8-SUM(D9:D12)</f>
        <v>4</v>
      </c>
      <c r="E13" s="15">
        <f t="shared" ref="E13" si="1">E8-SUM(E9:E12)</f>
        <v>17</v>
      </c>
      <c r="F13" s="15"/>
      <c r="G13" s="15">
        <f t="shared" ref="G13" ca="1" si="2">G8-SUM(G9:G12)</f>
        <v>21</v>
      </c>
      <c r="H13" s="4"/>
      <c r="I13" s="41"/>
      <c r="J13" s="20" t="s">
        <v>10</v>
      </c>
      <c r="K13" s="21">
        <f>K8-SUM(K9:K12)</f>
        <v>16</v>
      </c>
      <c r="L13" s="21">
        <f>L8-SUM(L9:L12)</f>
        <v>5</v>
      </c>
      <c r="M13" s="18"/>
      <c r="N13" s="41"/>
      <c r="O13" s="41"/>
      <c r="P13" s="40" t="str">
        <f>"Ave Betfair SP | "</f>
        <v xml:space="preserve">Ave Betfair SP | </v>
      </c>
      <c r="Q13" s="125" t="str">
        <f>"Win "&amp;DOLLAR($L$30,2)</f>
        <v>Win $7.91</v>
      </c>
      <c r="R13" s="41"/>
      <c r="S13" s="40" t="str">
        <f>"Ave Betfair SP | "</f>
        <v xml:space="preserve">Ave Betfair SP | </v>
      </c>
      <c r="T13" s="125" t="str">
        <f>"Win "&amp;DOLLAR($K$30,2)</f>
        <v>Win $7.92</v>
      </c>
      <c r="U13" s="41"/>
    </row>
    <row r="14" spans="1:21" x14ac:dyDescent="0.2">
      <c r="A14" s="41"/>
      <c r="B14" s="14"/>
      <c r="C14" s="9"/>
      <c r="D14" s="15"/>
      <c r="E14" s="15"/>
      <c r="F14" s="15"/>
      <c r="G14" s="15"/>
      <c r="H14" s="4"/>
      <c r="I14" s="41"/>
      <c r="J14" s="20"/>
      <c r="K14" s="21"/>
      <c r="L14" s="21"/>
      <c r="M14" s="18"/>
      <c r="N14" s="41"/>
      <c r="O14" s="41"/>
      <c r="P14" s="40" t="str">
        <f>" | "</f>
        <v xml:space="preserve"> | </v>
      </c>
      <c r="Q14" s="125" t="str">
        <f>"Place "&amp;DOLLAR($L$31,2)</f>
        <v>Place $2.29</v>
      </c>
      <c r="R14" s="41"/>
      <c r="S14" s="40" t="str">
        <f>" | "</f>
        <v xml:space="preserve"> | </v>
      </c>
      <c r="T14" s="125" t="str">
        <f>"Place "&amp;DOLLAR($K$31,2)</f>
        <v>Place $2.57</v>
      </c>
      <c r="U14" s="41"/>
    </row>
    <row r="15" spans="1:21" x14ac:dyDescent="0.2">
      <c r="A15" s="41"/>
      <c r="B15" s="7" t="s">
        <v>9</v>
      </c>
      <c r="C15" s="8">
        <f ca="1">IFERROR(C$9/C$8,"n/a")</f>
        <v>0.23809523809523808</v>
      </c>
      <c r="D15" s="8">
        <f>IFERROR(D$9/D$8,"n/a")</f>
        <v>0.1</v>
      </c>
      <c r="E15" s="8">
        <f>IFERROR(E$9/E$8,"n/a")</f>
        <v>0.26415094339622641</v>
      </c>
      <c r="F15" s="8"/>
      <c r="G15" s="8">
        <f ca="1">IFERROR(G$9/G$8,"n/a")</f>
        <v>0.23809523809523808</v>
      </c>
      <c r="H15" s="4"/>
      <c r="I15" s="41"/>
      <c r="J15" s="19" t="s">
        <v>9</v>
      </c>
      <c r="K15" s="8">
        <f>IFERROR(K$9/K$8,"n/a")</f>
        <v>0.18421052631578946</v>
      </c>
      <c r="L15" s="8">
        <f t="shared" ref="L15" si="3">IFERROR(L$9/L$8,"n/a")</f>
        <v>0.32</v>
      </c>
      <c r="M15" s="18"/>
      <c r="N15" s="41"/>
      <c r="O15" s="41"/>
      <c r="P15" s="41"/>
      <c r="Q15" s="41"/>
      <c r="R15" s="41"/>
      <c r="S15" s="41"/>
      <c r="T15" s="41"/>
      <c r="U15" s="41"/>
    </row>
    <row r="16" spans="1:21" x14ac:dyDescent="0.2">
      <c r="A16" s="41"/>
      <c r="B16" s="7" t="s">
        <v>7</v>
      </c>
      <c r="C16" s="8">
        <f ca="1">IFERROR((SUM(C$9:C$11))/C$8,"n/a")</f>
        <v>0.50793650793650791</v>
      </c>
      <c r="D16" s="8">
        <f>IFERROR((SUM(D$9:D$11))/D$8,"n/a")</f>
        <v>0.4</v>
      </c>
      <c r="E16" s="8">
        <f>IFERROR((SUM(E$9:E$11))/E$8,"n/a")</f>
        <v>0.52830188679245282</v>
      </c>
      <c r="F16" s="8"/>
      <c r="G16" s="8">
        <f ca="1">IFERROR((SUM(G$9:G$11))/G$8,"n/a")</f>
        <v>0.50793650793650791</v>
      </c>
      <c r="H16" s="4"/>
      <c r="I16" s="41"/>
      <c r="J16" s="19" t="s">
        <v>7</v>
      </c>
      <c r="K16" s="8">
        <f>IFERROR((SUM(K$9:K$11))/K$8,"n/a")</f>
        <v>0.39473684210526316</v>
      </c>
      <c r="L16" s="8">
        <f t="shared" ref="L16" si="4">IFERROR((SUM(L$9:L$11))/L$8,"n/a")</f>
        <v>0.68</v>
      </c>
      <c r="M16" s="18"/>
      <c r="N16" s="41"/>
      <c r="O16" s="41"/>
      <c r="P16" s="40" t="str">
        <f>"Unit Profit/Loss | "</f>
        <v xml:space="preserve">Unit Profit/Loss | </v>
      </c>
      <c r="Q16" s="125" t="str">
        <f>IF($L$24&gt;$L$23,"+",IF($L$24=$L$23,"","-"))&amp;$L$26</f>
        <v>+12.43 units</v>
      </c>
      <c r="R16" s="41"/>
      <c r="S16" s="40" t="str">
        <f>"Unit Profit/Loss | "</f>
        <v xml:space="preserve">Unit Profit/Loss | </v>
      </c>
      <c r="T16" s="125" t="str">
        <f>IF($K$24&gt;$K$23,"+",IF($K$24=$K$23,"","-"))&amp;$K$26</f>
        <v>--22.52 units</v>
      </c>
      <c r="U16" s="41"/>
    </row>
    <row r="17" spans="1:21" ht="17" thickBot="1" x14ac:dyDescent="0.25">
      <c r="A17" s="41"/>
      <c r="B17" s="7"/>
      <c r="C17" s="8"/>
      <c r="D17" s="8"/>
      <c r="E17" s="8"/>
      <c r="F17" s="8"/>
      <c r="G17" s="8"/>
      <c r="H17" s="4"/>
      <c r="I17" s="41"/>
      <c r="J17" s="61"/>
      <c r="K17" s="62"/>
      <c r="L17" s="62"/>
      <c r="M17" s="63"/>
      <c r="N17" s="41"/>
      <c r="O17" s="41"/>
      <c r="P17" s="40" t="str">
        <f>" | "</f>
        <v xml:space="preserve"> | </v>
      </c>
      <c r="Q17" s="125" t="str">
        <f>IF($L$24&gt;$L$23,"+",IF($L$24=$L$23,"","-"))&amp;(ROUND($L$25,3)*100)&amp;"% P.O.T."</f>
        <v>+21.9% P.O.T.</v>
      </c>
      <c r="R17" s="41"/>
      <c r="S17" s="40" t="str">
        <f>" | "</f>
        <v xml:space="preserve"> | </v>
      </c>
      <c r="T17" s="125" t="str">
        <f>IF($K$24&gt;$K$23,"+",IF($K$24=$K$23,"","-"))&amp;(ROUND($K$25,3)*100)&amp;"% P.O.T."</f>
        <v>--22.3% P.O.T.</v>
      </c>
      <c r="U17" s="41"/>
    </row>
    <row r="18" spans="1:21" ht="16" customHeight="1" x14ac:dyDescent="0.2">
      <c r="A18" s="41"/>
      <c r="B18" s="144" t="s">
        <v>102</v>
      </c>
      <c r="C18" s="145"/>
      <c r="D18" s="145"/>
      <c r="E18" s="96"/>
      <c r="F18" s="101"/>
      <c r="G18" s="101"/>
      <c r="H18" s="59"/>
      <c r="I18" s="41"/>
      <c r="J18" s="127" t="s">
        <v>102</v>
      </c>
      <c r="K18" s="128"/>
      <c r="L18" s="128"/>
      <c r="M18" s="59"/>
      <c r="N18" s="41"/>
      <c r="O18" s="41"/>
      <c r="P18" s="41"/>
      <c r="Q18" s="41"/>
      <c r="R18" s="41"/>
      <c r="S18" s="41"/>
      <c r="T18" s="41"/>
      <c r="U18" s="41"/>
    </row>
    <row r="19" spans="1:21" ht="16" customHeight="1" x14ac:dyDescent="0.2">
      <c r="A19" s="41"/>
      <c r="B19" s="137"/>
      <c r="C19" s="146"/>
      <c r="D19" s="146"/>
      <c r="E19" s="97"/>
      <c r="F19" s="102"/>
      <c r="G19" s="102"/>
      <c r="H19" s="18"/>
      <c r="I19" s="81"/>
      <c r="J19" s="129"/>
      <c r="K19" s="130"/>
      <c r="L19" s="130"/>
      <c r="M19" s="18"/>
      <c r="N19" s="41"/>
      <c r="O19" s="41"/>
      <c r="P19" s="40" t="str">
        <f>"$100 units | "</f>
        <v xml:space="preserve">$100 units | </v>
      </c>
      <c r="Q19" s="125" t="str">
        <f>IF($L$24&gt;$L$23,"+",IF($L$24=$L$23,"","-"))&amp;" "&amp;DOLLAR(($L$24-$L$23)*100,0)</f>
        <v>+ $1,243</v>
      </c>
      <c r="R19" s="41"/>
      <c r="S19" s="40" t="str">
        <f>"$100 units | "</f>
        <v xml:space="preserve">$100 units | </v>
      </c>
      <c r="T19" s="125" t="str">
        <f>IF($K$24&gt;$K$23,"+",IF($K$24=$K$23,"","-"))&amp;" "&amp;DOLLAR(($K$24-$K$23)*100,0)</f>
        <v>- ($2,252)</v>
      </c>
      <c r="U19" s="41"/>
    </row>
    <row r="20" spans="1:21" x14ac:dyDescent="0.2">
      <c r="A20" s="41"/>
      <c r="B20" s="19" t="s">
        <v>8</v>
      </c>
      <c r="C20" s="27">
        <f>IFERROR(AVERAGE('Tips Results'!$M:$M),"N/A")</f>
        <v>6.5218906249999993</v>
      </c>
      <c r="D20" s="27">
        <f>IFERROR(AVERAGEIFS('Tips Results'!$M:$M,'Tips Results'!$E:$E,"&gt;="&amp;D$1,'Tips Results'!$E:$E,"&lt;="&amp;D$2,'Tips Results'!$I:$I,"&gt;"&amp;"0"),"N/A")</f>
        <v>7.2398499999999997</v>
      </c>
      <c r="E20" s="27">
        <f>IFERROR(AVERAGEIFS('Tips Results'!$M:$M,'Tips Results'!$E:$E,"&gt;="&amp;E$1,'Tips Results'!$E:$E,"&lt;="&amp;E$2,'Tips Results'!$I:$I,"&gt;"&amp;"0"),"N/A")</f>
        <v>6.4581132075471697</v>
      </c>
      <c r="F20" s="27"/>
      <c r="G20" s="27">
        <f ca="1">IFERROR(AVERAGEIFS('Tips Results'!$M:$M,'Tips Results'!$E:$E,"&gt;="&amp;G$1,'Tips Results'!$E:$E,"&lt;="&amp;G$2,'Tips Results'!$I:$I,"&gt;"&amp;"0"),"N/A")</f>
        <v>6.5821984126984114</v>
      </c>
      <c r="H20" s="18"/>
      <c r="I20" s="41"/>
      <c r="J20" s="19" t="s">
        <v>8</v>
      </c>
      <c r="K20" s="27">
        <f>IFERROR(AVERAGEIFS('Tips Results'!$M:$M,'Tips Results'!$D:$D,K$6,'Tips Results'!$I:$I,"&gt;"&amp;"0"),"N/A")</f>
        <v>7.2367105263157878</v>
      </c>
      <c r="L20" s="27">
        <f>IFERROR(AVERAGEIFS('Tips Results'!$M:$M,'Tips Results'!$D:$D,L$6,'Tips Results'!$I:$I,"&gt;"&amp;"0"),"N/A")</f>
        <v>5.5873400000000011</v>
      </c>
      <c r="M20" s="18"/>
      <c r="N20" s="41"/>
      <c r="O20" s="41"/>
      <c r="P20" s="41"/>
      <c r="Q20" s="41"/>
      <c r="R20" s="41"/>
      <c r="S20" s="41"/>
      <c r="T20" s="41"/>
      <c r="U20" s="41"/>
    </row>
    <row r="21" spans="1:21" x14ac:dyDescent="0.2">
      <c r="A21" s="41"/>
      <c r="B21" s="19" t="s">
        <v>6</v>
      </c>
      <c r="C21" s="27">
        <f>IFERROR(AVERAGEIF('Tips Results'!$O:$O,"&gt;"&amp;0,'Tips Results'!$O:$O),"N/A")</f>
        <v>2.2343333333333333</v>
      </c>
      <c r="D21" s="27" t="str">
        <f>IFERROR(AVERAGEIFS('Tips Results'!$O:$O,'Tips Results'!$E:$E,"&gt;="&amp;D$1,'Tips Results'!$E:$E,"&lt;="&amp;D$2,'Tips Results'!$O:$O,"&gt;"&amp;0),"N/A")</f>
        <v>N/A</v>
      </c>
      <c r="E21" s="27">
        <f>IFERROR(AVERAGEIFS('Tips Results'!$O:$O,'Tips Results'!$E:$E,"&gt;="&amp;E$1,'Tips Results'!$E:$E,"&lt;="&amp;E$2,'Tips Results'!$O:$O,"&gt;"&amp;0),"N/A")</f>
        <v>2.2343333333333333</v>
      </c>
      <c r="F21" s="27"/>
      <c r="G21" s="27">
        <f ca="1">IFERROR(AVERAGEIFS('Tips Results'!$O:$O,'Tips Results'!$E:$E,"&gt;="&amp;G$1,'Tips Results'!$E:$E,"&lt;="&amp;G$2,'Tips Results'!$O:$O,"&gt;"&amp;0),"N/A")</f>
        <v>2.2343333333333333</v>
      </c>
      <c r="H21" s="18"/>
      <c r="I21" s="41"/>
      <c r="J21" s="19" t="s">
        <v>6</v>
      </c>
      <c r="K21" s="27" t="str">
        <f>IFERROR(AVERAGEIFS('Tips Results'!$O:$O,'Tips Results'!$D:$D,K$6,'Tips Results'!$O:$O,"&gt;"&amp;0),"N/A")</f>
        <v>N/A</v>
      </c>
      <c r="L21" s="27">
        <f>IFERROR(AVERAGEIFS('Tips Results'!$O:$O,'Tips Results'!$D:$D,L$6,'Tips Results'!$O:$O,"&gt;"&amp;0),"N/A")</f>
        <v>2.2343333333333333</v>
      </c>
      <c r="M21" s="18"/>
      <c r="N21" s="41"/>
    </row>
    <row r="22" spans="1:21" x14ac:dyDescent="0.2">
      <c r="A22" s="41"/>
      <c r="B22" s="19"/>
      <c r="C22" s="26"/>
      <c r="D22" s="26"/>
      <c r="E22" s="26"/>
      <c r="F22" s="26"/>
      <c r="G22" s="26"/>
      <c r="H22" s="18"/>
      <c r="I22" s="41"/>
      <c r="J22" s="19"/>
      <c r="K22" s="26"/>
      <c r="L22" s="26"/>
      <c r="M22" s="18"/>
      <c r="N22" s="41"/>
    </row>
    <row r="23" spans="1:21" x14ac:dyDescent="0.2">
      <c r="A23" s="41"/>
      <c r="B23" s="19" t="s">
        <v>3</v>
      </c>
      <c r="C23" s="22">
        <f>SUM('Tips Results'!$T:$T,'Tips Results'!$V:$V)</f>
        <v>165</v>
      </c>
      <c r="D23" s="22">
        <f>SUMIFS('Tips Results'!$N:$N,'Tips Results'!$E:$E,"&lt;="&amp;D$2,'Tips Results'!$E:$E,"&gt;="&amp;D$1)+SUMIFS('Tips Results'!$P:$P,'Tips Results'!$E:$E,"&lt;="&amp;D$2,'Tips Results'!$E:$E,"&gt;="&amp;D$1)</f>
        <v>22</v>
      </c>
      <c r="E23" s="22">
        <f>SUMIFS('Tips Results'!$N:$N,'Tips Results'!$E:$E,"&lt;="&amp;E$2,'Tips Results'!$E:$E,"&gt;="&amp;E$1)+SUMIFS('Tips Results'!$P:$P,'Tips Results'!$E:$E,"&lt;="&amp;E$2,'Tips Results'!$E:$E,"&gt;="&amp;E$1)</f>
        <v>143</v>
      </c>
      <c r="F23" s="22"/>
      <c r="G23" s="22">
        <f ca="1">SUMIFS('Tips Results'!$N:$N,'Tips Results'!$E:$E,"&lt;="&amp;G$2,'Tips Results'!$E:$E,"&gt;="&amp;G$1)+SUMIFS('Tips Results'!$P:$P,'Tips Results'!$E:$E,"&lt;="&amp;G$2,'Tips Results'!$E:$E,"&gt;="&amp;G$1)</f>
        <v>165</v>
      </c>
      <c r="H23" s="18"/>
      <c r="I23" s="41"/>
      <c r="J23" s="19" t="s">
        <v>3</v>
      </c>
      <c r="K23" s="22">
        <f>SUMIF('Tips Results'!$D:$D,K$6,'Tips Results'!$T:$T)+SUMIF('Tips Results'!$H:$H,K$6,'Tips Results'!$V:$V)</f>
        <v>101</v>
      </c>
      <c r="L23" s="22">
        <f>SUMIF('Tips Results'!$D:$D,L$6,'Tips Results'!$T:$T)+SUMIF('Tips Results'!$H:$H,L$6,'Tips Results'!$V:$V)</f>
        <v>56.7</v>
      </c>
      <c r="M23" s="18"/>
      <c r="N23" s="41"/>
    </row>
    <row r="24" spans="1:21" x14ac:dyDescent="0.2">
      <c r="A24" s="41"/>
      <c r="B24" s="19" t="s">
        <v>2</v>
      </c>
      <c r="C24" s="22">
        <f>SUM('Tips Results'!$Q:$Q)+C$33</f>
        <v>154.91</v>
      </c>
      <c r="D24" s="22">
        <f>SUMIFS('Tips Results'!$Q:$Q,'Tips Results'!$E:$E,"&lt;="&amp;D$2,'Tips Results'!$E:$E,"&gt;="&amp;D$1)+D23</f>
        <v>8.5500000000000007</v>
      </c>
      <c r="E24" s="22">
        <f>SUMIFS('Tips Results'!$Q:$Q,'Tips Results'!$E:$E,"&lt;="&amp;E$2,'Tips Results'!$E:$E,"&gt;="&amp;E$1)+E23</f>
        <v>146.35999999999999</v>
      </c>
      <c r="F24" s="22"/>
      <c r="G24" s="22">
        <f ca="1">SUMIFS('Tips Results'!$Q:$Q,'Tips Results'!$E:$E,"&lt;="&amp;G$2,'Tips Results'!$E:$E,"&gt;="&amp;G$1)+G23</f>
        <v>154.91</v>
      </c>
      <c r="H24" s="18"/>
      <c r="I24" s="41"/>
      <c r="J24" s="19" t="s">
        <v>2</v>
      </c>
      <c r="K24" s="22">
        <f>SUMIF('Tips Results'!$D:$D,K$6,'Tips Results'!$Q:$Q)+K23</f>
        <v>78.48</v>
      </c>
      <c r="L24" s="22">
        <f>SUMIF('Tips Results'!$D:$D,L$6,'Tips Results'!$Q:$Q)+L23</f>
        <v>69.13</v>
      </c>
      <c r="M24" s="18"/>
      <c r="N24" s="41"/>
    </row>
    <row r="25" spans="1:21" x14ac:dyDescent="0.2">
      <c r="A25" s="41"/>
      <c r="B25" s="19" t="s">
        <v>62</v>
      </c>
      <c r="C25" s="60">
        <f t="shared" ref="C25:D25" si="5">IFERROR((C24-C23)/C23,"N/A")</f>
        <v>-6.1151515151515172E-2</v>
      </c>
      <c r="D25" s="60">
        <f t="shared" si="5"/>
        <v>-0.61136363636363633</v>
      </c>
      <c r="E25" s="60">
        <f>IFERROR((E24-E23)/E23,"N/A")</f>
        <v>2.3496503496503392E-2</v>
      </c>
      <c r="F25" s="60"/>
      <c r="G25" s="60">
        <f ca="1">IFERROR((G24-G23)/G23,"N/A")</f>
        <v>-6.1151515151515172E-2</v>
      </c>
      <c r="H25" s="18"/>
      <c r="I25" s="41"/>
      <c r="J25" s="19" t="s">
        <v>62</v>
      </c>
      <c r="K25" s="60">
        <f>IFERROR((K24-K23)/K23,"N/A")</f>
        <v>-0.22297029702970292</v>
      </c>
      <c r="L25" s="60">
        <f>IFERROR((L24-L23)/L23,"N/A")</f>
        <v>0.21922398589065242</v>
      </c>
      <c r="M25" s="18"/>
      <c r="N25" s="41"/>
    </row>
    <row r="26" spans="1:21" x14ac:dyDescent="0.2">
      <c r="A26" s="41"/>
      <c r="B26" s="19" t="s">
        <v>101</v>
      </c>
      <c r="C26" s="6" t="str">
        <f>ROUND(C24-C23,2)&amp;" units"</f>
        <v>-10.09 units</v>
      </c>
      <c r="D26" s="6" t="str">
        <f>ROUND(D24-D23,2)&amp;" units"</f>
        <v>-13.45 units</v>
      </c>
      <c r="E26" s="6" t="str">
        <f>ROUND(E24-E23,2)&amp;" units"</f>
        <v>3.36 units</v>
      </c>
      <c r="F26" s="21"/>
      <c r="G26" s="6" t="str">
        <f ca="1">ROUND(G24-G23,2)&amp;" units"</f>
        <v>-10.09 units</v>
      </c>
      <c r="H26" s="18"/>
      <c r="I26" s="41"/>
      <c r="J26" s="19" t="s">
        <v>101</v>
      </c>
      <c r="K26" s="6" t="str">
        <f>ROUND(K24-K23,2)&amp;" units"</f>
        <v>-22.52 units</v>
      </c>
      <c r="L26" s="6" t="str">
        <f>ROUND(L24-L23,2)&amp;" units"</f>
        <v>12.43 units</v>
      </c>
      <c r="M26" s="18"/>
      <c r="N26" s="41"/>
    </row>
    <row r="27" spans="1:21" ht="17" thickBot="1" x14ac:dyDescent="0.25">
      <c r="A27" s="41"/>
      <c r="B27" s="28"/>
      <c r="C27" s="29"/>
      <c r="D27" s="30"/>
      <c r="E27" s="30"/>
      <c r="F27" s="30"/>
      <c r="G27" s="30"/>
      <c r="H27" s="31"/>
      <c r="I27" s="41"/>
      <c r="J27" s="28"/>
      <c r="K27" s="30"/>
      <c r="L27" s="30"/>
      <c r="M27" s="31"/>
      <c r="N27" s="41"/>
    </row>
    <row r="28" spans="1:21" ht="16" customHeight="1" x14ac:dyDescent="0.2">
      <c r="A28" s="41"/>
      <c r="B28" s="127" t="s">
        <v>103</v>
      </c>
      <c r="C28" s="128"/>
      <c r="D28" s="96"/>
      <c r="E28" s="96"/>
      <c r="F28" s="101"/>
      <c r="G28" s="101"/>
      <c r="H28" s="59"/>
      <c r="I28" s="41"/>
      <c r="J28" s="127" t="s">
        <v>103</v>
      </c>
      <c r="K28" s="128"/>
      <c r="L28" s="58"/>
      <c r="M28" s="59"/>
      <c r="N28" s="41"/>
    </row>
    <row r="29" spans="1:21" ht="16" customHeight="1" x14ac:dyDescent="0.2">
      <c r="A29" s="41"/>
      <c r="B29" s="129"/>
      <c r="C29" s="130"/>
      <c r="D29" s="97"/>
      <c r="E29" s="97"/>
      <c r="F29" s="102"/>
      <c r="G29" s="102"/>
      <c r="H29" s="18"/>
      <c r="I29" s="81"/>
      <c r="J29" s="129"/>
      <c r="K29" s="130"/>
      <c r="L29" s="27"/>
      <c r="M29" s="18"/>
      <c r="N29" s="41"/>
    </row>
    <row r="30" spans="1:21" x14ac:dyDescent="0.2">
      <c r="A30" s="41"/>
      <c r="B30" s="19" t="s">
        <v>5</v>
      </c>
      <c r="C30" s="27">
        <f>IFERROR(AVERAGE('Tips Results'!$S:$S),"N/A")</f>
        <v>7.8272666666666684</v>
      </c>
      <c r="D30" s="27">
        <f>IFERROR(AVERAGEIFS('Tips Results'!$S:$S,'Tips Results'!$E:$E,"&gt;="&amp;D$1,'Tips Results'!$E:$E,"&lt;="&amp;D$2,'Tips Results'!$I:$I,"&gt;"&amp;"0"),"N/A")</f>
        <v>7.3939999999999984</v>
      </c>
      <c r="E30" s="27">
        <f>IFERROR(AVERAGEIFS('Tips Results'!$S:$S,'Tips Results'!$E:$E,"&gt;="&amp;E$1,'Tips Results'!$E:$E,"&lt;="&amp;E$2,'Tips Results'!$I:$I,"&gt;"&amp;"0"),"N/A")</f>
        <v>8.0209615384615383</v>
      </c>
      <c r="F30" s="27"/>
      <c r="G30" s="27">
        <f ca="1">IFERROR(AVERAGEIFS('Tips Results'!$S:$S,'Tips Results'!$E:$E,"&gt;="&amp;G$1,'Tips Results'!$E:$E,"&lt;="&amp;G$2,'Tips Results'!$I:$I,"&gt;"&amp;"0"),"N/A")</f>
        <v>7.9198387096774203</v>
      </c>
      <c r="H30" s="18"/>
      <c r="I30" s="41"/>
      <c r="J30" s="19" t="s">
        <v>5</v>
      </c>
      <c r="K30" s="27">
        <f>IFERROR(AVERAGEIFS('Tips Results'!$S:$S,'Tips Results'!$D:$D,K$6,'Tips Results'!$I:$I,"&gt;"&amp;"0"),"N/A")</f>
        <v>7.9234210526315785</v>
      </c>
      <c r="L30" s="27">
        <f>IFERROR(AVERAGEIFS('Tips Results'!$S:$S,'Tips Results'!$D:$D,L$6,'Tips Results'!$I:$I,"&gt;"&amp;"0"),"N/A")</f>
        <v>7.9141666666666657</v>
      </c>
      <c r="M30" s="18"/>
      <c r="N30" s="41"/>
    </row>
    <row r="31" spans="1:21" x14ac:dyDescent="0.2">
      <c r="A31" s="41"/>
      <c r="B31" s="19" t="s">
        <v>4</v>
      </c>
      <c r="C31" s="27">
        <f>IFERROR(AVERAGE('Tips Results'!$U:$U),"N/A")</f>
        <v>2.443329687499999</v>
      </c>
      <c r="D31" s="27">
        <f>IFERROR(AVERAGEIFS('Tips Results'!$U:$U,'Tips Results'!$E:$E,"&gt;="&amp;D$1,'Tips Results'!$E:$E,"&lt;="&amp;D$2,'Tips Results'!$I:$I,"&gt;"&amp;"0"),"N/A")</f>
        <v>2.6539999999999999</v>
      </c>
      <c r="E31" s="27">
        <f>IFERROR(AVERAGEIFS('Tips Results'!$U:$U,'Tips Results'!$E:$E,"&gt;="&amp;E$1,'Tips Results'!$E:$E,"&lt;="&amp;E$2,'Tips Results'!$I:$I,"&gt;"&amp;"0"),"N/A")</f>
        <v>2.4243396226415097</v>
      </c>
      <c r="F31" s="27"/>
      <c r="G31" s="27">
        <f ca="1">IFERROR(AVERAGEIFS('Tips Results'!$U:$U,'Tips Results'!$E:$E,"&gt;="&amp;G$1,'Tips Results'!$E:$E,"&lt;="&amp;G$2,'Tips Results'!$I:$I,"&gt;"&amp;"0"),"N/A")</f>
        <v>2.4607936507936499</v>
      </c>
      <c r="H31" s="18"/>
      <c r="I31" s="41"/>
      <c r="J31" s="19" t="s">
        <v>4</v>
      </c>
      <c r="K31" s="27">
        <f>IFERROR(AVERAGEIFS('Tips Results'!$U:$U,'Tips Results'!$D:$D,K$6,'Tips Results'!$I:$I,"&gt;"&amp;"0"),"N/A")</f>
        <v>2.5707894736842114</v>
      </c>
      <c r="L31" s="27">
        <f>IFERROR(AVERAGEIFS('Tips Results'!$U:$U,'Tips Results'!$D:$D,L$6,'Tips Results'!$I:$I,"&gt;"&amp;"0"),"N/A")</f>
        <v>2.2936000000000001</v>
      </c>
      <c r="M31" s="18"/>
      <c r="N31" s="41"/>
    </row>
    <row r="32" spans="1:21" x14ac:dyDescent="0.2">
      <c r="A32" s="41"/>
      <c r="B32" s="19"/>
      <c r="C32" s="26"/>
      <c r="D32" s="26"/>
      <c r="E32" s="26"/>
      <c r="F32" s="26"/>
      <c r="G32" s="26"/>
      <c r="H32" s="18"/>
      <c r="I32" s="41"/>
      <c r="J32" s="19"/>
      <c r="K32" s="26"/>
      <c r="L32" s="26"/>
      <c r="M32" s="18"/>
      <c r="N32" s="41"/>
    </row>
    <row r="33" spans="1:14" x14ac:dyDescent="0.2">
      <c r="A33" s="41"/>
      <c r="B33" s="19" t="s">
        <v>3</v>
      </c>
      <c r="C33" s="22">
        <f>SUM('Tips Results'!$T:$T,'Tips Results'!$V:$V)</f>
        <v>165</v>
      </c>
      <c r="D33" s="22">
        <f>SUMIFS('Tips Results'!$T:$T,'Tips Results'!$E:$E,"&lt;="&amp;D$2,'Tips Results'!$E:$E,"&gt;="&amp;D$1)+SUMIFS('Tips Results'!$V:$V,'Tips Results'!$E:$E,"&lt;="&amp;D$2,'Tips Results'!$E:$E,"&gt;="&amp;D$1)</f>
        <v>22</v>
      </c>
      <c r="E33" s="22">
        <f>SUMIFS('Tips Results'!$T:$T,'Tips Results'!$E:$E,"&lt;="&amp;E$2,'Tips Results'!$E:$E,"&gt;="&amp;E$1)+SUMIFS('Tips Results'!$V:$V,'Tips Results'!$E:$E,"&lt;="&amp;E$2,'Tips Results'!$E:$E,"&gt;="&amp;E$1)</f>
        <v>143</v>
      </c>
      <c r="F33" s="22"/>
      <c r="G33" s="22">
        <f ca="1">SUMIFS('Tips Results'!$T:$T,'Tips Results'!$E:$E,"&lt;="&amp;G$2,'Tips Results'!$E:$E,"&gt;="&amp;G$1)+SUMIFS('Tips Results'!$V:$V,'Tips Results'!$E:$E,"&lt;="&amp;G$2,'Tips Results'!$E:$E,"&gt;="&amp;G$1)</f>
        <v>165</v>
      </c>
      <c r="H33" s="18"/>
      <c r="I33" s="41"/>
      <c r="J33" s="19" t="s">
        <v>3</v>
      </c>
      <c r="K33" s="22">
        <f>SUMIF('Tips Results'!$D:$D,K$6,'Tips Results'!$T:$T)+SUMIF('Tips Results'!$H:$H,K$6,'Tips Results'!$V:$V)</f>
        <v>101</v>
      </c>
      <c r="L33" s="22">
        <f>SUMIF('Tips Results'!$D:$D,L$6,'Tips Results'!$T:$T)+SUMIF('Tips Results'!$H:$H,L$6,'Tips Results'!$V:$V)</f>
        <v>56.7</v>
      </c>
      <c r="M33" s="18"/>
      <c r="N33" s="41"/>
    </row>
    <row r="34" spans="1:14" x14ac:dyDescent="0.2">
      <c r="A34" s="41"/>
      <c r="B34" s="19" t="s">
        <v>2</v>
      </c>
      <c r="C34" s="22">
        <f>SUM('Tips Results'!$X:$X)+C$33</f>
        <v>150.2567</v>
      </c>
      <c r="D34" s="22">
        <f>SUMIFS('Tips Results'!$X:$X,'Tips Results'!$E:$E,"&lt;="&amp;D$2,'Tips Results'!$E:$E,"&gt;="&amp;D$1)+D33</f>
        <v>10.287000000000001</v>
      </c>
      <c r="E34" s="22">
        <f>SUMIFS('Tips Results'!$X:$X,'Tips Results'!$E:$E,"&lt;="&amp;E$2,'Tips Results'!$E:$E,"&gt;="&amp;E$1)+E33</f>
        <v>139.96969999999999</v>
      </c>
      <c r="F34" s="22"/>
      <c r="G34" s="22">
        <f ca="1">SUMIFS('Tips Results'!$X:$X,'Tips Results'!$E:$E,"&lt;="&amp;G$2,'Tips Results'!$E:$E,"&gt;="&amp;G$1)+G33</f>
        <v>150.2567</v>
      </c>
      <c r="H34" s="18"/>
      <c r="I34" s="41"/>
      <c r="J34" s="19" t="s">
        <v>2</v>
      </c>
      <c r="K34" s="22">
        <f>SUMIF('Tips Results'!$D:$D,K$6,'Tips Results'!$X:$X)+K33</f>
        <v>73.898799999999994</v>
      </c>
      <c r="L34" s="22">
        <f>SUMIF('Tips Results'!$D:$D,L$6,'Tips Results'!$X:$X)+L33</f>
        <v>69.057900000000004</v>
      </c>
      <c r="M34" s="18"/>
      <c r="N34" s="41"/>
    </row>
    <row r="35" spans="1:14" x14ac:dyDescent="0.2">
      <c r="A35" s="41"/>
      <c r="B35" s="19" t="s">
        <v>62</v>
      </c>
      <c r="C35" s="60">
        <f t="shared" ref="C35:E35" si="6">IFERROR((C34-C33)/C33,"N/A")</f>
        <v>-8.9353333333333368E-2</v>
      </c>
      <c r="D35" s="60">
        <f t="shared" si="6"/>
        <v>-0.53240909090909083</v>
      </c>
      <c r="E35" s="60">
        <f t="shared" si="6"/>
        <v>-2.119090909090917E-2</v>
      </c>
      <c r="F35" s="60"/>
      <c r="G35" s="60">
        <f t="shared" ref="G35" ca="1" si="7">IFERROR((G34-G33)/G33,"N/A")</f>
        <v>-8.9353333333333368E-2</v>
      </c>
      <c r="H35" s="18"/>
      <c r="I35" s="41"/>
      <c r="J35" s="19" t="s">
        <v>62</v>
      </c>
      <c r="K35" s="60">
        <f>IFERROR((K34-K33)/K33,"N/A")</f>
        <v>-0.26832871287128718</v>
      </c>
      <c r="L35" s="60">
        <f>IFERROR((L34-L33)/L33,"N/A")</f>
        <v>0.21795238095238095</v>
      </c>
      <c r="M35" s="18"/>
      <c r="N35" s="41"/>
    </row>
    <row r="36" spans="1:14" x14ac:dyDescent="0.2">
      <c r="A36" s="41"/>
      <c r="B36" s="19" t="s">
        <v>101</v>
      </c>
      <c r="C36" s="6" t="str">
        <f t="shared" ref="C36:D36" si="8">ROUND(C34-C33,2)&amp;" units"</f>
        <v>-14.74 units</v>
      </c>
      <c r="D36" s="6" t="str">
        <f t="shared" si="8"/>
        <v>-11.71 units</v>
      </c>
      <c r="E36" s="6" t="str">
        <f>ROUND(E34-E33,2)&amp;" units"</f>
        <v>-3.03 units</v>
      </c>
      <c r="F36" s="21"/>
      <c r="G36" s="6" t="str">
        <f ca="1">ROUND(G34-G33,2)&amp;" units"</f>
        <v>-14.74 units</v>
      </c>
      <c r="H36" s="18"/>
      <c r="I36" s="41"/>
      <c r="J36" s="19" t="s">
        <v>101</v>
      </c>
      <c r="K36" s="6" t="str">
        <f>ROUND(K34-K33,2)&amp;" units"</f>
        <v>-27.1 units</v>
      </c>
      <c r="L36" s="6" t="str">
        <f>ROUND(L34-L33,2)&amp;" units"</f>
        <v>12.36 units</v>
      </c>
      <c r="M36" s="18"/>
      <c r="N36" s="41"/>
    </row>
    <row r="37" spans="1:14" ht="17" thickBot="1" x14ac:dyDescent="0.25">
      <c r="A37" s="41"/>
      <c r="B37" s="28"/>
      <c r="C37" s="29"/>
      <c r="D37" s="30"/>
      <c r="E37" s="30"/>
      <c r="F37" s="30"/>
      <c r="G37" s="30"/>
      <c r="H37" s="31"/>
      <c r="I37" s="41"/>
      <c r="J37" s="28"/>
      <c r="K37" s="30"/>
      <c r="L37" s="30"/>
      <c r="M37" s="31"/>
      <c r="N37" s="41"/>
    </row>
    <row r="38" spans="1:14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x14ac:dyDescent="0.2">
      <c r="C39" s="73"/>
      <c r="K39" s="43"/>
    </row>
    <row r="40" spans="1:14" x14ac:dyDescent="0.2">
      <c r="C40" s="73"/>
      <c r="K40" s="43"/>
    </row>
    <row r="41" spans="1:14" x14ac:dyDescent="0.2">
      <c r="K41" s="43"/>
    </row>
  </sheetData>
  <sheetProtection algorithmName="SHA-512" hashValue="caC5vQSRoZF75vnbbPwmM6ATXLBWX2wz3N9T0CIW07v3WzmckJJceYF+XEkhsCE4UREkX2+NWVWUmynm8KDpww==" saltValue="m6wqlZfUpdJwByl4q6WCaw==" spinCount="100000" sheet="1" objects="1" scenarios="1"/>
  <mergeCells count="11">
    <mergeCell ref="P4:T5"/>
    <mergeCell ref="P8:Q8"/>
    <mergeCell ref="B4:H5"/>
    <mergeCell ref="J4:M5"/>
    <mergeCell ref="B7:B8"/>
    <mergeCell ref="J7:J8"/>
    <mergeCell ref="B28:C29"/>
    <mergeCell ref="J28:K29"/>
    <mergeCell ref="B18:D19"/>
    <mergeCell ref="J18:L19"/>
    <mergeCell ref="S8:T8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8659-0775-984D-ADAC-82AD655316C0}">
  <sheetPr>
    <tabColor rgb="FF00B050"/>
    <pageSetUpPr fitToPage="1"/>
  </sheetPr>
  <dimension ref="A2:AY71"/>
  <sheetViews>
    <sheetView showGridLines="0" tabSelected="1" zoomScaleNormal="100" workbookViewId="0">
      <pane xSplit="3" ySplit="3" topLeftCell="E40" activePane="bottomRight" state="frozen"/>
      <selection activeCell="M43" sqref="M43"/>
      <selection pane="topRight" activeCell="M43" sqref="M43"/>
      <selection pane="bottomLeft" activeCell="M43" sqref="M43"/>
      <selection pane="bottomRight" activeCell="AC23" sqref="AC23"/>
    </sheetView>
  </sheetViews>
  <sheetFormatPr baseColWidth="10" defaultColWidth="14.5" defaultRowHeight="16" outlineLevelRow="1" outlineLevelCol="1" x14ac:dyDescent="0.2"/>
  <cols>
    <col min="1" max="1" width="4.33203125" style="2" customWidth="1"/>
    <col min="2" max="2" width="3.1640625" style="2" hidden="1" customWidth="1" outlineLevel="1"/>
    <col min="3" max="3" width="32.5" style="2" bestFit="1" customWidth="1" collapsed="1"/>
    <col min="4" max="4" width="9.83203125" style="2" hidden="1" customWidth="1" outlineLevel="1"/>
    <col min="5" max="5" width="10.6640625" style="2" bestFit="1" customWidth="1" collapsed="1"/>
    <col min="6" max="6" width="13.83203125" style="3" bestFit="1" customWidth="1"/>
    <col min="7" max="7" width="5.1640625" style="67" bestFit="1" customWidth="1"/>
    <col min="8" max="8" width="7.6640625" style="67" bestFit="1" customWidth="1"/>
    <col min="9" max="9" width="8.83203125" style="67" customWidth="1"/>
    <col min="10" max="10" width="8.83203125" style="67" bestFit="1" customWidth="1"/>
    <col min="11" max="11" width="5.5" style="67" bestFit="1" customWidth="1"/>
    <col min="12" max="12" width="6.33203125" style="2" bestFit="1" customWidth="1"/>
    <col min="13" max="13" width="8.33203125" style="2" bestFit="1" customWidth="1"/>
    <col min="14" max="14" width="6" style="2" customWidth="1"/>
    <col min="15" max="15" width="8" style="2" bestFit="1" customWidth="1"/>
    <col min="16" max="16" width="5.5" style="2" customWidth="1"/>
    <col min="17" max="17" width="6.6640625" style="2" customWidth="1"/>
    <col min="18" max="18" width="7.6640625" style="2" hidden="1" customWidth="1" outlineLevel="1"/>
    <col min="19" max="19" width="8.33203125" style="2" bestFit="1" customWidth="1" collapsed="1"/>
    <col min="20" max="20" width="6" style="2" customWidth="1"/>
    <col min="21" max="21" width="8" style="2" bestFit="1" customWidth="1"/>
    <col min="22" max="22" width="5.5" style="2" customWidth="1"/>
    <col min="23" max="23" width="6.6640625" style="2" bestFit="1" customWidth="1"/>
    <col min="24" max="24" width="6.6640625" style="2" customWidth="1"/>
    <col min="25" max="25" width="7.6640625" style="2" hidden="1" customWidth="1" outlineLevel="1"/>
    <col min="26" max="26" width="5.1640625" style="123" hidden="1" customWidth="1" outlineLevel="1"/>
    <col min="27" max="27" width="24" style="2" hidden="1" customWidth="1" outlineLevel="1"/>
    <col min="28" max="28" width="14.5" collapsed="1"/>
    <col min="52" max="16384" width="14.5" style="2"/>
  </cols>
  <sheetData>
    <row r="2" spans="1:28" x14ac:dyDescent="0.2">
      <c r="A2" s="111"/>
      <c r="B2" s="159" t="s">
        <v>127</v>
      </c>
      <c r="C2" s="157" t="s">
        <v>27</v>
      </c>
      <c r="D2" s="157" t="s">
        <v>230</v>
      </c>
      <c r="E2" s="161" t="s">
        <v>1</v>
      </c>
      <c r="F2" s="157" t="s">
        <v>26</v>
      </c>
      <c r="G2" s="161" t="s">
        <v>25</v>
      </c>
      <c r="H2" s="161" t="s">
        <v>71</v>
      </c>
      <c r="I2" s="161" t="s">
        <v>135</v>
      </c>
      <c r="J2" s="103" t="s">
        <v>178</v>
      </c>
      <c r="K2" s="161" t="s">
        <v>117</v>
      </c>
      <c r="L2" s="154" t="s">
        <v>22</v>
      </c>
      <c r="M2" s="141" t="s">
        <v>100</v>
      </c>
      <c r="N2" s="142"/>
      <c r="O2" s="142"/>
      <c r="P2" s="142"/>
      <c r="Q2" s="142"/>
      <c r="R2" s="143"/>
      <c r="S2" s="141" t="s">
        <v>108</v>
      </c>
      <c r="T2" s="142"/>
      <c r="U2" s="142"/>
      <c r="V2" s="142"/>
      <c r="W2" s="142"/>
      <c r="X2" s="142"/>
      <c r="Y2" s="143"/>
      <c r="Z2" s="153" t="s">
        <v>333</v>
      </c>
      <c r="AA2" s="154"/>
      <c r="AB2" s="113"/>
    </row>
    <row r="3" spans="1:28" x14ac:dyDescent="0.2">
      <c r="A3" s="111"/>
      <c r="B3" s="160"/>
      <c r="C3" s="158"/>
      <c r="D3" s="158"/>
      <c r="E3" s="162"/>
      <c r="F3" s="158"/>
      <c r="G3" s="162"/>
      <c r="H3" s="162"/>
      <c r="I3" s="162"/>
      <c r="J3" s="32" t="s">
        <v>134</v>
      </c>
      <c r="K3" s="162"/>
      <c r="L3" s="156"/>
      <c r="M3" s="37" t="s">
        <v>24</v>
      </c>
      <c r="N3" s="32" t="s">
        <v>21</v>
      </c>
      <c r="O3" s="32" t="s">
        <v>23</v>
      </c>
      <c r="P3" s="32" t="s">
        <v>21</v>
      </c>
      <c r="Q3" s="32" t="s">
        <v>19</v>
      </c>
      <c r="R3" s="25" t="s">
        <v>99</v>
      </c>
      <c r="S3" s="37" t="s">
        <v>24</v>
      </c>
      <c r="T3" s="32" t="s">
        <v>21</v>
      </c>
      <c r="U3" s="32" t="s">
        <v>23</v>
      </c>
      <c r="V3" s="32" t="s">
        <v>21</v>
      </c>
      <c r="W3" s="32" t="s">
        <v>0</v>
      </c>
      <c r="X3" s="32" t="s">
        <v>19</v>
      </c>
      <c r="Y3" s="25" t="s">
        <v>99</v>
      </c>
      <c r="Z3" s="155"/>
      <c r="AA3" s="156"/>
      <c r="AB3" s="113"/>
    </row>
    <row r="4" spans="1:28" x14ac:dyDescent="0.2">
      <c r="A4" s="111"/>
      <c r="B4" s="48">
        <v>1</v>
      </c>
      <c r="C4" s="36" t="s">
        <v>240</v>
      </c>
      <c r="D4" s="53" t="s">
        <v>228</v>
      </c>
      <c r="E4" s="53">
        <v>44134</v>
      </c>
      <c r="F4" s="74" t="s">
        <v>88</v>
      </c>
      <c r="G4" s="70" t="s">
        <v>45</v>
      </c>
      <c r="H4" s="70" t="s">
        <v>73</v>
      </c>
      <c r="I4" s="70">
        <v>1450</v>
      </c>
      <c r="J4" s="70" t="s">
        <v>224</v>
      </c>
      <c r="K4" s="70" t="s">
        <v>118</v>
      </c>
      <c r="L4" s="47" t="s">
        <v>12</v>
      </c>
      <c r="M4" s="12">
        <v>3.8</v>
      </c>
      <c r="N4" s="65">
        <v>2.25</v>
      </c>
      <c r="O4" s="39">
        <v>0</v>
      </c>
      <c r="P4" s="38">
        <v>0</v>
      </c>
      <c r="Q4" s="107">
        <f>ROUND(IF(OR($L4="1st",$L4="WON"),($M4*$N4)+($O4*$P4),IF(OR($L4="2nd",$L4="3rd"),IF($O4="NTD",0,($O4*$P4))))-($N4+$P4),2)</f>
        <v>6.3</v>
      </c>
      <c r="R4" s="105">
        <f>Q4</f>
        <v>6.3</v>
      </c>
      <c r="S4" s="12">
        <v>4.8</v>
      </c>
      <c r="T4" s="65">
        <f>N4</f>
        <v>2.25</v>
      </c>
      <c r="U4" s="39">
        <v>2.2799999999999998</v>
      </c>
      <c r="V4" s="38">
        <f>P4</f>
        <v>0</v>
      </c>
      <c r="W4" s="109">
        <f>-(((T4*S4)-T4)*0.06)</f>
        <v>-0.5129999999999999</v>
      </c>
      <c r="X4" s="109">
        <f>ROUND(IF(OR($L4="1st",$L4="WON"),($S4*$T4)+($U4*$V4),IF(OR($L4="2nd",$L4="3rd"),IF($U4="NTD",0,($U4*$V4))))-($T4+$V4),2)+W4</f>
        <v>8.0370000000000008</v>
      </c>
      <c r="Y4" s="105">
        <f>X4</f>
        <v>8.0370000000000008</v>
      </c>
      <c r="Z4" s="120" t="s">
        <v>11</v>
      </c>
      <c r="AA4" s="118" t="s">
        <v>335</v>
      </c>
      <c r="AB4" s="113"/>
    </row>
    <row r="5" spans="1:28" x14ac:dyDescent="0.2">
      <c r="A5" s="111"/>
      <c r="B5" s="48">
        <f t="shared" ref="B5:B38" si="0">B4+1</f>
        <v>2</v>
      </c>
      <c r="C5" s="36" t="s">
        <v>239</v>
      </c>
      <c r="D5" s="53" t="s">
        <v>228</v>
      </c>
      <c r="E5" s="53">
        <v>44134</v>
      </c>
      <c r="F5" s="74" t="s">
        <v>88</v>
      </c>
      <c r="G5" s="70" t="s">
        <v>45</v>
      </c>
      <c r="H5" s="70" t="s">
        <v>73</v>
      </c>
      <c r="I5" s="70">
        <v>1450</v>
      </c>
      <c r="J5" s="70" t="s">
        <v>224</v>
      </c>
      <c r="K5" s="70" t="s">
        <v>118</v>
      </c>
      <c r="L5" s="47" t="s">
        <v>11</v>
      </c>
      <c r="M5" s="12">
        <v>4.2</v>
      </c>
      <c r="N5" s="65">
        <v>0.75</v>
      </c>
      <c r="O5" s="39">
        <v>0</v>
      </c>
      <c r="P5" s="38">
        <v>0</v>
      </c>
      <c r="Q5" s="107">
        <f t="shared" ref="Q5:Q66" si="1">ROUND(IF(OR($L5="1st",$L5="WON"),($M5*$N5)+($O5*$P5),IF(OR($L5="2nd",$L5="3rd"),IF($O5="NTD",0,($O5*$P5))))-($N5+$P5),2)</f>
        <v>-0.75</v>
      </c>
      <c r="R5" s="105">
        <f t="shared" ref="R5:R6" si="2">Q5+R4</f>
        <v>5.55</v>
      </c>
      <c r="S5" s="12">
        <v>5.75</v>
      </c>
      <c r="T5" s="65">
        <f t="shared" ref="T5:T6" si="3">N5</f>
        <v>0.75</v>
      </c>
      <c r="U5" s="39">
        <v>2.19</v>
      </c>
      <c r="V5" s="38">
        <f t="shared" ref="V5:V6" si="4">P5</f>
        <v>0</v>
      </c>
      <c r="W5" s="109">
        <v>0</v>
      </c>
      <c r="X5" s="109">
        <f>ROUND(IF(OR($L5="1st",$L5="WON"),($S5*$T5)+($U5*$V5),IF(OR($L5="2nd",$L5="3rd"),IF($U5="NTD",0,($U5*$V5))))-($T5+$V5),2)+W5</f>
        <v>-0.75</v>
      </c>
      <c r="Y5" s="105">
        <f t="shared" ref="Y5:Y17" si="5">X5+Y4</f>
        <v>7.2870000000000008</v>
      </c>
      <c r="Z5" s="120" t="s">
        <v>11</v>
      </c>
      <c r="AA5" s="118" t="s">
        <v>334</v>
      </c>
      <c r="AB5" s="113"/>
    </row>
    <row r="6" spans="1:28" x14ac:dyDescent="0.2">
      <c r="A6" s="111"/>
      <c r="B6" s="48">
        <f t="shared" si="0"/>
        <v>3</v>
      </c>
      <c r="C6" s="36" t="s">
        <v>244</v>
      </c>
      <c r="D6" s="53" t="s">
        <v>228</v>
      </c>
      <c r="E6" s="53">
        <v>44135</v>
      </c>
      <c r="F6" s="36" t="s">
        <v>63</v>
      </c>
      <c r="G6" s="70" t="s">
        <v>28</v>
      </c>
      <c r="H6" s="70" t="s">
        <v>70</v>
      </c>
      <c r="I6" s="70">
        <v>1100</v>
      </c>
      <c r="J6" s="70" t="s">
        <v>245</v>
      </c>
      <c r="K6" s="70" t="s">
        <v>118</v>
      </c>
      <c r="L6" s="47" t="s">
        <v>11</v>
      </c>
      <c r="M6" s="12">
        <f>2.15-(2.15*0.21)</f>
        <v>1.6984999999999999</v>
      </c>
      <c r="N6" s="38">
        <v>5</v>
      </c>
      <c r="O6" s="39">
        <v>0</v>
      </c>
      <c r="P6" s="38">
        <v>0</v>
      </c>
      <c r="Q6" s="107">
        <f t="shared" si="1"/>
        <v>-5</v>
      </c>
      <c r="R6" s="105">
        <f t="shared" si="2"/>
        <v>0.54999999999999982</v>
      </c>
      <c r="S6" s="12">
        <v>1.69</v>
      </c>
      <c r="T6" s="38">
        <f t="shared" si="3"/>
        <v>5</v>
      </c>
      <c r="U6" s="39">
        <v>1.1299999999999999</v>
      </c>
      <c r="V6" s="38">
        <f t="shared" si="4"/>
        <v>0</v>
      </c>
      <c r="W6" s="109">
        <v>0</v>
      </c>
      <c r="X6" s="109">
        <f t="shared" ref="X6:X17" si="6">ROUND(IF(OR($L6="1st",$L6="WON"),($S6*$T6)+($U6*$V6),IF(OR($L6="2nd",$L6="3rd"),IF($U6="NTD",0,($U6*$V6))))-($T6+$V6),2)+W6</f>
        <v>-5</v>
      </c>
      <c r="Y6" s="105">
        <f t="shared" si="5"/>
        <v>2.2870000000000008</v>
      </c>
      <c r="Z6" s="120" t="s">
        <v>12</v>
      </c>
      <c r="AA6" s="118" t="s">
        <v>336</v>
      </c>
      <c r="AB6" s="113"/>
    </row>
    <row r="7" spans="1:28" outlineLevel="1" x14ac:dyDescent="0.2">
      <c r="A7" s="111"/>
      <c r="B7" s="48">
        <f t="shared" si="0"/>
        <v>4</v>
      </c>
      <c r="C7" s="36" t="s">
        <v>212</v>
      </c>
      <c r="D7" s="36" t="s">
        <v>77</v>
      </c>
      <c r="E7" s="53">
        <v>44135</v>
      </c>
      <c r="F7" s="36" t="s">
        <v>34</v>
      </c>
      <c r="G7" s="70" t="s">
        <v>39</v>
      </c>
      <c r="H7" s="70" t="s">
        <v>200</v>
      </c>
      <c r="I7" s="70">
        <v>2000</v>
      </c>
      <c r="J7" s="70" t="s">
        <v>224</v>
      </c>
      <c r="K7" s="70" t="s">
        <v>118</v>
      </c>
      <c r="L7" s="47" t="s">
        <v>66</v>
      </c>
      <c r="M7" s="12">
        <v>9.5</v>
      </c>
      <c r="N7" s="38">
        <v>1</v>
      </c>
      <c r="O7" s="39">
        <v>0</v>
      </c>
      <c r="P7" s="38">
        <v>0</v>
      </c>
      <c r="Q7" s="107">
        <f t="shared" si="1"/>
        <v>-1</v>
      </c>
      <c r="R7" s="105">
        <f t="shared" ref="R7:R17" si="7">Q7+R6</f>
        <v>-0.45000000000000018</v>
      </c>
      <c r="S7" s="12">
        <v>11.77</v>
      </c>
      <c r="T7" s="38">
        <f t="shared" ref="T7:T17" si="8">N7</f>
        <v>1</v>
      </c>
      <c r="U7" s="39">
        <v>2.98</v>
      </c>
      <c r="V7" s="38">
        <f t="shared" ref="V7:V17" si="9">P7</f>
        <v>0</v>
      </c>
      <c r="W7" s="109">
        <v>0</v>
      </c>
      <c r="X7" s="109">
        <f t="shared" si="6"/>
        <v>-1</v>
      </c>
      <c r="Y7" s="105">
        <f t="shared" si="5"/>
        <v>1.2870000000000008</v>
      </c>
      <c r="Z7" s="120"/>
      <c r="AA7" s="118"/>
      <c r="AB7" s="113"/>
    </row>
    <row r="8" spans="1:28" customFormat="1" outlineLevel="1" x14ac:dyDescent="0.2">
      <c r="A8" s="112"/>
      <c r="B8" s="48">
        <f t="shared" si="0"/>
        <v>5</v>
      </c>
      <c r="C8" s="36" t="s">
        <v>241</v>
      </c>
      <c r="D8" s="36" t="s">
        <v>77</v>
      </c>
      <c r="E8" s="53">
        <v>44135</v>
      </c>
      <c r="F8" s="36" t="s">
        <v>34</v>
      </c>
      <c r="G8" s="70" t="s">
        <v>39</v>
      </c>
      <c r="H8" s="70" t="s">
        <v>200</v>
      </c>
      <c r="I8" s="70">
        <v>2000</v>
      </c>
      <c r="J8" s="70" t="s">
        <v>224</v>
      </c>
      <c r="K8" s="70" t="s">
        <v>118</v>
      </c>
      <c r="L8" s="47" t="s">
        <v>61</v>
      </c>
      <c r="M8" s="12">
        <v>8.5</v>
      </c>
      <c r="N8" s="38">
        <v>1.5</v>
      </c>
      <c r="O8" s="39">
        <v>0</v>
      </c>
      <c r="P8" s="38">
        <v>0</v>
      </c>
      <c r="Q8" s="107">
        <f t="shared" si="1"/>
        <v>-1.5</v>
      </c>
      <c r="R8" s="105">
        <f t="shared" si="7"/>
        <v>-1.9500000000000002</v>
      </c>
      <c r="S8" s="12">
        <v>6.85</v>
      </c>
      <c r="T8" s="38">
        <f t="shared" si="8"/>
        <v>1.5</v>
      </c>
      <c r="U8" s="39">
        <v>2.5</v>
      </c>
      <c r="V8" s="38">
        <f t="shared" si="9"/>
        <v>0</v>
      </c>
      <c r="W8" s="109">
        <v>0</v>
      </c>
      <c r="X8" s="109">
        <f t="shared" si="6"/>
        <v>-1.5</v>
      </c>
      <c r="Y8" s="105">
        <f t="shared" si="5"/>
        <v>-0.21299999999999919</v>
      </c>
      <c r="Z8" s="120"/>
      <c r="AA8" s="118"/>
      <c r="AB8" s="113"/>
    </row>
    <row r="9" spans="1:28" customFormat="1" outlineLevel="1" x14ac:dyDescent="0.2">
      <c r="A9" s="112"/>
      <c r="B9" s="48">
        <f t="shared" si="0"/>
        <v>6</v>
      </c>
      <c r="C9" s="36" t="s">
        <v>208</v>
      </c>
      <c r="D9" s="36" t="s">
        <v>77</v>
      </c>
      <c r="E9" s="53">
        <v>44135</v>
      </c>
      <c r="F9" s="36" t="s">
        <v>34</v>
      </c>
      <c r="G9" s="70" t="s">
        <v>13</v>
      </c>
      <c r="H9" s="70" t="s">
        <v>200</v>
      </c>
      <c r="I9" s="70">
        <v>1200</v>
      </c>
      <c r="J9" s="70" t="s">
        <v>224</v>
      </c>
      <c r="K9" s="70" t="s">
        <v>118</v>
      </c>
      <c r="L9" s="47" t="s">
        <v>111</v>
      </c>
      <c r="M9" s="12">
        <v>3</v>
      </c>
      <c r="N9" s="38">
        <v>5</v>
      </c>
      <c r="O9" s="39">
        <v>0</v>
      </c>
      <c r="P9" s="38">
        <v>0</v>
      </c>
      <c r="Q9" s="107">
        <f t="shared" si="1"/>
        <v>-5</v>
      </c>
      <c r="R9" s="105">
        <f t="shared" si="7"/>
        <v>-6.95</v>
      </c>
      <c r="S9" s="12">
        <v>3.65</v>
      </c>
      <c r="T9" s="38">
        <f t="shared" si="8"/>
        <v>5</v>
      </c>
      <c r="U9" s="39">
        <v>1.71</v>
      </c>
      <c r="V9" s="38">
        <f t="shared" si="9"/>
        <v>0</v>
      </c>
      <c r="W9" s="109">
        <v>0</v>
      </c>
      <c r="X9" s="109">
        <f t="shared" si="6"/>
        <v>-5</v>
      </c>
      <c r="Y9" s="105">
        <f t="shared" si="5"/>
        <v>-5.2129999999999992</v>
      </c>
      <c r="Z9" s="120"/>
      <c r="AA9" s="118"/>
      <c r="AB9" s="113"/>
    </row>
    <row r="10" spans="1:28" outlineLevel="1" x14ac:dyDescent="0.2">
      <c r="A10" s="111"/>
      <c r="B10" s="48">
        <f t="shared" si="0"/>
        <v>7</v>
      </c>
      <c r="C10" s="36" t="s">
        <v>198</v>
      </c>
      <c r="D10" s="36" t="s">
        <v>77</v>
      </c>
      <c r="E10" s="53">
        <v>44135</v>
      </c>
      <c r="F10" s="36" t="s">
        <v>34</v>
      </c>
      <c r="G10" s="70" t="s">
        <v>37</v>
      </c>
      <c r="H10" s="70" t="s">
        <v>194</v>
      </c>
      <c r="I10" s="70">
        <v>2500</v>
      </c>
      <c r="J10" s="70" t="s">
        <v>224</v>
      </c>
      <c r="K10" s="70" t="s">
        <v>118</v>
      </c>
      <c r="L10" s="47" t="s">
        <v>76</v>
      </c>
      <c r="M10" s="12">
        <v>4.2</v>
      </c>
      <c r="N10" s="38">
        <v>3</v>
      </c>
      <c r="O10" s="39">
        <v>0</v>
      </c>
      <c r="P10" s="38">
        <v>0</v>
      </c>
      <c r="Q10" s="107">
        <f t="shared" si="1"/>
        <v>-3</v>
      </c>
      <c r="R10" s="105">
        <f t="shared" si="7"/>
        <v>-9.9499999999999993</v>
      </c>
      <c r="S10" s="12">
        <v>5.3</v>
      </c>
      <c r="T10" s="38">
        <f t="shared" si="8"/>
        <v>3</v>
      </c>
      <c r="U10" s="39">
        <v>1.94</v>
      </c>
      <c r="V10" s="38">
        <f t="shared" si="9"/>
        <v>0</v>
      </c>
      <c r="W10" s="109">
        <v>0</v>
      </c>
      <c r="X10" s="109">
        <f t="shared" si="6"/>
        <v>-3</v>
      </c>
      <c r="Y10" s="105">
        <f t="shared" si="5"/>
        <v>-8.2129999999999992</v>
      </c>
      <c r="Z10" s="120"/>
      <c r="AA10" s="118"/>
      <c r="AB10" s="113"/>
    </row>
    <row r="11" spans="1:28" outlineLevel="1" x14ac:dyDescent="0.2">
      <c r="A11" s="111"/>
      <c r="B11" s="48">
        <f t="shared" si="0"/>
        <v>8</v>
      </c>
      <c r="C11" s="36" t="s">
        <v>243</v>
      </c>
      <c r="D11" s="36" t="s">
        <v>77</v>
      </c>
      <c r="E11" s="53">
        <v>44135</v>
      </c>
      <c r="F11" s="36" t="s">
        <v>34</v>
      </c>
      <c r="G11" s="70" t="s">
        <v>45</v>
      </c>
      <c r="H11" s="70" t="s">
        <v>199</v>
      </c>
      <c r="I11" s="70">
        <v>1600</v>
      </c>
      <c r="J11" s="70" t="s">
        <v>224</v>
      </c>
      <c r="K11" s="70" t="s">
        <v>118</v>
      </c>
      <c r="L11" s="47" t="s">
        <v>61</v>
      </c>
      <c r="M11" s="12">
        <v>11</v>
      </c>
      <c r="N11" s="38">
        <v>1</v>
      </c>
      <c r="O11" s="39">
        <v>0</v>
      </c>
      <c r="P11" s="38">
        <v>0</v>
      </c>
      <c r="Q11" s="107">
        <f t="shared" si="1"/>
        <v>-1</v>
      </c>
      <c r="R11" s="105">
        <f t="shared" si="7"/>
        <v>-10.95</v>
      </c>
      <c r="S11" s="12">
        <v>12.2</v>
      </c>
      <c r="T11" s="38">
        <f t="shared" si="8"/>
        <v>1</v>
      </c>
      <c r="U11" s="39">
        <v>4.01</v>
      </c>
      <c r="V11" s="38">
        <f t="shared" si="9"/>
        <v>0</v>
      </c>
      <c r="W11" s="109">
        <v>0</v>
      </c>
      <c r="X11" s="109">
        <f t="shared" si="6"/>
        <v>-1</v>
      </c>
      <c r="Y11" s="105">
        <f t="shared" si="5"/>
        <v>-9.2129999999999992</v>
      </c>
      <c r="Z11" s="120"/>
      <c r="AA11" s="118"/>
      <c r="AB11" s="113"/>
    </row>
    <row r="12" spans="1:28" outlineLevel="1" x14ac:dyDescent="0.2">
      <c r="A12" s="111"/>
      <c r="B12" s="48">
        <f t="shared" si="0"/>
        <v>9</v>
      </c>
      <c r="C12" s="36" t="s">
        <v>211</v>
      </c>
      <c r="D12" s="36" t="s">
        <v>77</v>
      </c>
      <c r="E12" s="53">
        <v>44135</v>
      </c>
      <c r="F12" s="36" t="s">
        <v>34</v>
      </c>
      <c r="G12" s="70" t="s">
        <v>45</v>
      </c>
      <c r="H12" s="70" t="s">
        <v>199</v>
      </c>
      <c r="I12" s="70">
        <v>1600</v>
      </c>
      <c r="J12" s="70" t="s">
        <v>224</v>
      </c>
      <c r="K12" s="70" t="s">
        <v>118</v>
      </c>
      <c r="L12" s="47" t="s">
        <v>11</v>
      </c>
      <c r="M12" s="12">
        <v>19</v>
      </c>
      <c r="N12" s="38">
        <v>0.5</v>
      </c>
      <c r="O12" s="39">
        <v>0</v>
      </c>
      <c r="P12" s="38">
        <v>0</v>
      </c>
      <c r="Q12" s="107">
        <f t="shared" si="1"/>
        <v>-0.5</v>
      </c>
      <c r="R12" s="105">
        <f t="shared" si="7"/>
        <v>-11.45</v>
      </c>
      <c r="S12" s="12">
        <v>13.57</v>
      </c>
      <c r="T12" s="38">
        <f t="shared" si="8"/>
        <v>0.5</v>
      </c>
      <c r="U12" s="39">
        <v>4.5</v>
      </c>
      <c r="V12" s="38">
        <f t="shared" si="9"/>
        <v>0</v>
      </c>
      <c r="W12" s="109">
        <v>0</v>
      </c>
      <c r="X12" s="109">
        <f t="shared" si="6"/>
        <v>-0.5</v>
      </c>
      <c r="Y12" s="105">
        <f t="shared" si="5"/>
        <v>-9.7129999999999992</v>
      </c>
      <c r="Z12" s="120"/>
      <c r="AA12" s="118"/>
      <c r="AB12" s="113"/>
    </row>
    <row r="13" spans="1:28" outlineLevel="1" x14ac:dyDescent="0.2">
      <c r="A13" s="111"/>
      <c r="B13" s="48">
        <f t="shared" si="0"/>
        <v>10</v>
      </c>
      <c r="C13" s="36" t="s">
        <v>242</v>
      </c>
      <c r="D13" s="36" t="s">
        <v>77</v>
      </c>
      <c r="E13" s="53">
        <v>44135</v>
      </c>
      <c r="F13" s="36" t="s">
        <v>34</v>
      </c>
      <c r="G13" s="70" t="s">
        <v>52</v>
      </c>
      <c r="H13" s="70" t="s">
        <v>199</v>
      </c>
      <c r="I13" s="70">
        <v>1600</v>
      </c>
      <c r="J13" s="70" t="s">
        <v>224</v>
      </c>
      <c r="K13" s="70" t="s">
        <v>118</v>
      </c>
      <c r="L13" s="47" t="s">
        <v>249</v>
      </c>
      <c r="M13" s="12">
        <v>7.5</v>
      </c>
      <c r="N13" s="38">
        <v>2</v>
      </c>
      <c r="O13" s="39">
        <v>0</v>
      </c>
      <c r="P13" s="38">
        <v>0</v>
      </c>
      <c r="Q13" s="107">
        <f t="shared" si="1"/>
        <v>-2</v>
      </c>
      <c r="R13" s="105">
        <f t="shared" si="7"/>
        <v>-13.45</v>
      </c>
      <c r="S13" s="12">
        <v>8.36</v>
      </c>
      <c r="T13" s="38">
        <f t="shared" si="8"/>
        <v>2</v>
      </c>
      <c r="U13" s="39">
        <v>3.3</v>
      </c>
      <c r="V13" s="38">
        <f t="shared" si="9"/>
        <v>0</v>
      </c>
      <c r="W13" s="109">
        <v>0</v>
      </c>
      <c r="X13" s="109">
        <f t="shared" si="6"/>
        <v>-2</v>
      </c>
      <c r="Y13" s="105">
        <f t="shared" si="5"/>
        <v>-11.712999999999999</v>
      </c>
      <c r="Z13" s="120"/>
      <c r="AA13" s="118"/>
      <c r="AB13" s="113"/>
    </row>
    <row r="14" spans="1:28" x14ac:dyDescent="0.2">
      <c r="A14" s="111"/>
      <c r="B14" s="48">
        <f t="shared" si="0"/>
        <v>11</v>
      </c>
      <c r="C14" s="36" t="s">
        <v>248</v>
      </c>
      <c r="D14" s="53" t="s">
        <v>228</v>
      </c>
      <c r="E14" s="53">
        <v>44137</v>
      </c>
      <c r="F14" s="36" t="s">
        <v>35</v>
      </c>
      <c r="G14" s="70" t="s">
        <v>28</v>
      </c>
      <c r="H14" s="70" t="s">
        <v>70</v>
      </c>
      <c r="I14" s="70">
        <v>1200</v>
      </c>
      <c r="J14" s="70" t="s">
        <v>224</v>
      </c>
      <c r="K14" s="70" t="s">
        <v>118</v>
      </c>
      <c r="L14" s="47" t="s">
        <v>11</v>
      </c>
      <c r="M14" s="12">
        <v>2.7</v>
      </c>
      <c r="N14" s="38">
        <v>5</v>
      </c>
      <c r="O14" s="39">
        <v>0</v>
      </c>
      <c r="P14" s="38">
        <v>0</v>
      </c>
      <c r="Q14" s="107">
        <f t="shared" si="1"/>
        <v>-5</v>
      </c>
      <c r="R14" s="105">
        <f t="shared" si="7"/>
        <v>-18.45</v>
      </c>
      <c r="S14" s="12">
        <v>2.48</v>
      </c>
      <c r="T14" s="38">
        <f t="shared" si="8"/>
        <v>5</v>
      </c>
      <c r="U14" s="39">
        <v>1.4</v>
      </c>
      <c r="V14" s="38">
        <f t="shared" si="9"/>
        <v>0</v>
      </c>
      <c r="W14" s="109">
        <v>0</v>
      </c>
      <c r="X14" s="109">
        <f t="shared" si="6"/>
        <v>-5</v>
      </c>
      <c r="Y14" s="105">
        <f t="shared" si="5"/>
        <v>-16.713000000000001</v>
      </c>
      <c r="Z14" s="120"/>
      <c r="AA14" s="118"/>
      <c r="AB14" s="113"/>
    </row>
    <row r="15" spans="1:28" x14ac:dyDescent="0.2">
      <c r="A15" s="111"/>
      <c r="B15" s="48">
        <f t="shared" si="0"/>
        <v>12</v>
      </c>
      <c r="C15" s="36" t="s">
        <v>250</v>
      </c>
      <c r="D15" s="53" t="s">
        <v>228</v>
      </c>
      <c r="E15" s="53">
        <v>44137</v>
      </c>
      <c r="F15" s="36" t="s">
        <v>35</v>
      </c>
      <c r="G15" s="70" t="s">
        <v>39</v>
      </c>
      <c r="H15" s="70" t="s">
        <v>70</v>
      </c>
      <c r="I15" s="70">
        <v>1200</v>
      </c>
      <c r="J15" s="70" t="s">
        <v>224</v>
      </c>
      <c r="K15" s="70" t="s">
        <v>118</v>
      </c>
      <c r="L15" s="47" t="s">
        <v>15</v>
      </c>
      <c r="M15" s="12">
        <v>2.2999999999999998</v>
      </c>
      <c r="N15" s="38">
        <v>3</v>
      </c>
      <c r="O15" s="39">
        <v>0</v>
      </c>
      <c r="P15" s="38">
        <v>0</v>
      </c>
      <c r="Q15" s="107">
        <f t="shared" si="1"/>
        <v>-3</v>
      </c>
      <c r="R15" s="105">
        <f t="shared" si="7"/>
        <v>-21.45</v>
      </c>
      <c r="S15" s="12">
        <v>3.5</v>
      </c>
      <c r="T15" s="38">
        <f t="shared" si="8"/>
        <v>3</v>
      </c>
      <c r="U15" s="39">
        <v>1.38</v>
      </c>
      <c r="V15" s="38">
        <f t="shared" si="9"/>
        <v>0</v>
      </c>
      <c r="W15" s="109">
        <v>0</v>
      </c>
      <c r="X15" s="109">
        <f t="shared" si="6"/>
        <v>-3</v>
      </c>
      <c r="Y15" s="105">
        <f t="shared" si="5"/>
        <v>-19.713000000000001</v>
      </c>
      <c r="Z15" s="120" t="s">
        <v>12</v>
      </c>
      <c r="AA15" s="118" t="s">
        <v>337</v>
      </c>
      <c r="AB15" s="113"/>
    </row>
    <row r="16" spans="1:28" x14ac:dyDescent="0.2">
      <c r="A16" s="111"/>
      <c r="B16" s="48">
        <f t="shared" si="0"/>
        <v>13</v>
      </c>
      <c r="C16" s="36" t="s">
        <v>251</v>
      </c>
      <c r="D16" s="53" t="s">
        <v>228</v>
      </c>
      <c r="E16" s="53">
        <v>44137</v>
      </c>
      <c r="F16" s="36" t="s">
        <v>35</v>
      </c>
      <c r="G16" s="70" t="s">
        <v>37</v>
      </c>
      <c r="H16" s="70" t="s">
        <v>70</v>
      </c>
      <c r="I16" s="70">
        <v>1400</v>
      </c>
      <c r="J16" s="70" t="s">
        <v>224</v>
      </c>
      <c r="K16" s="70" t="s">
        <v>118</v>
      </c>
      <c r="L16" s="47" t="s">
        <v>15</v>
      </c>
      <c r="M16" s="12">
        <v>4.5999999999999996</v>
      </c>
      <c r="N16" s="38">
        <v>2</v>
      </c>
      <c r="O16" s="39">
        <v>1.95</v>
      </c>
      <c r="P16" s="38">
        <v>2</v>
      </c>
      <c r="Q16" s="107">
        <f t="shared" si="1"/>
        <v>-0.1</v>
      </c>
      <c r="R16" s="105">
        <f t="shared" si="7"/>
        <v>-21.55</v>
      </c>
      <c r="S16" s="12">
        <v>2.79</v>
      </c>
      <c r="T16" s="38">
        <f t="shared" si="8"/>
        <v>2</v>
      </c>
      <c r="U16" s="39">
        <v>1.54</v>
      </c>
      <c r="V16" s="38">
        <f t="shared" si="9"/>
        <v>2</v>
      </c>
      <c r="W16" s="109">
        <f>-(((V16*U16)-V16)*0.06)</f>
        <v>-6.4799999999999996E-2</v>
      </c>
      <c r="X16" s="109">
        <f t="shared" si="6"/>
        <v>-0.98480000000000001</v>
      </c>
      <c r="Y16" s="105">
        <f t="shared" si="5"/>
        <v>-20.697800000000001</v>
      </c>
      <c r="Z16" s="120" t="s">
        <v>15</v>
      </c>
      <c r="AA16" s="119" t="s">
        <v>338</v>
      </c>
      <c r="AB16" s="113"/>
    </row>
    <row r="17" spans="1:28" x14ac:dyDescent="0.2">
      <c r="A17" s="111"/>
      <c r="B17" s="48">
        <f t="shared" si="0"/>
        <v>14</v>
      </c>
      <c r="C17" s="36" t="s">
        <v>252</v>
      </c>
      <c r="D17" s="36" t="s">
        <v>228</v>
      </c>
      <c r="E17" s="86">
        <v>44138</v>
      </c>
      <c r="F17" s="74" t="s">
        <v>31</v>
      </c>
      <c r="G17" s="70" t="s">
        <v>28</v>
      </c>
      <c r="H17" s="70" t="s">
        <v>70</v>
      </c>
      <c r="I17" s="70">
        <v>1000</v>
      </c>
      <c r="J17" s="70" t="s">
        <v>224</v>
      </c>
      <c r="K17" s="70" t="s">
        <v>118</v>
      </c>
      <c r="L17" s="47" t="s">
        <v>12</v>
      </c>
      <c r="M17" s="12">
        <v>3.3</v>
      </c>
      <c r="N17" s="38">
        <v>4</v>
      </c>
      <c r="O17" s="39">
        <v>0</v>
      </c>
      <c r="P17" s="38">
        <v>0</v>
      </c>
      <c r="Q17" s="107">
        <f t="shared" si="1"/>
        <v>9.1999999999999993</v>
      </c>
      <c r="R17" s="105">
        <f t="shared" si="7"/>
        <v>-12.350000000000001</v>
      </c>
      <c r="S17" s="12">
        <v>3.5</v>
      </c>
      <c r="T17" s="38">
        <f t="shared" si="8"/>
        <v>4</v>
      </c>
      <c r="U17" s="39">
        <v>1.8</v>
      </c>
      <c r="V17" s="38">
        <f t="shared" si="9"/>
        <v>0</v>
      </c>
      <c r="W17" s="109">
        <f>-(((T17*S17)-T17)*0.06)</f>
        <v>-0.6</v>
      </c>
      <c r="X17" s="109">
        <f t="shared" si="6"/>
        <v>9.4</v>
      </c>
      <c r="Y17" s="105">
        <f t="shared" si="5"/>
        <v>-11.297800000000001</v>
      </c>
      <c r="Z17" s="120" t="s">
        <v>12</v>
      </c>
      <c r="AA17" s="118" t="s">
        <v>339</v>
      </c>
      <c r="AB17" s="113"/>
    </row>
    <row r="18" spans="1:28" outlineLevel="1" x14ac:dyDescent="0.2">
      <c r="A18" s="111"/>
      <c r="B18" s="48">
        <f t="shared" si="0"/>
        <v>15</v>
      </c>
      <c r="C18" s="36" t="s">
        <v>255</v>
      </c>
      <c r="D18" s="36" t="s">
        <v>77</v>
      </c>
      <c r="E18" s="86">
        <v>44138</v>
      </c>
      <c r="F18" s="74" t="s">
        <v>34</v>
      </c>
      <c r="G18" s="70" t="s">
        <v>16</v>
      </c>
      <c r="H18" s="70" t="s">
        <v>199</v>
      </c>
      <c r="I18" s="70">
        <v>3200</v>
      </c>
      <c r="J18" s="70" t="s">
        <v>224</v>
      </c>
      <c r="K18" s="70" t="s">
        <v>118</v>
      </c>
      <c r="L18" s="47" t="s">
        <v>11</v>
      </c>
      <c r="M18" s="12">
        <v>10</v>
      </c>
      <c r="N18" s="38">
        <v>1</v>
      </c>
      <c r="O18" s="39">
        <v>0</v>
      </c>
      <c r="P18" s="38">
        <v>0</v>
      </c>
      <c r="Q18" s="107">
        <f t="shared" si="1"/>
        <v>-1</v>
      </c>
      <c r="R18" s="105">
        <f t="shared" ref="R18" si="10">Q18+R17</f>
        <v>-13.350000000000001</v>
      </c>
      <c r="S18" s="12">
        <v>10.210000000000001</v>
      </c>
      <c r="T18" s="38">
        <f t="shared" ref="T18" si="11">N18</f>
        <v>1</v>
      </c>
      <c r="U18" s="39">
        <v>3.59</v>
      </c>
      <c r="V18" s="38">
        <f t="shared" ref="V18" si="12">P18</f>
        <v>0</v>
      </c>
      <c r="W18" s="109">
        <v>0</v>
      </c>
      <c r="X18" s="109">
        <f t="shared" ref="X18" si="13">ROUND(IF(OR($L18="1st",$L18="WON"),($S18*$T18)+($U18*$V18),IF(OR($L18="2nd",$L18="3rd"),IF($U18="NTD",0,($U18*$V18))))-($T18+$V18),2)+W18</f>
        <v>-1</v>
      </c>
      <c r="Y18" s="105">
        <f t="shared" ref="Y18" si="14">X18+Y17</f>
        <v>-12.297800000000001</v>
      </c>
      <c r="Z18" s="120"/>
      <c r="AA18" s="118"/>
      <c r="AB18" s="113"/>
    </row>
    <row r="19" spans="1:28" outlineLevel="1" x14ac:dyDescent="0.2">
      <c r="A19" s="111"/>
      <c r="B19" s="48">
        <f t="shared" si="0"/>
        <v>16</v>
      </c>
      <c r="C19" s="36" t="s">
        <v>256</v>
      </c>
      <c r="D19" s="36" t="s">
        <v>77</v>
      </c>
      <c r="E19" s="86">
        <v>44138</v>
      </c>
      <c r="F19" s="74" t="s">
        <v>34</v>
      </c>
      <c r="G19" s="70" t="s">
        <v>16</v>
      </c>
      <c r="H19" s="70" t="s">
        <v>199</v>
      </c>
      <c r="I19" s="70">
        <v>3200</v>
      </c>
      <c r="J19" s="70" t="s">
        <v>224</v>
      </c>
      <c r="K19" s="70" t="s">
        <v>118</v>
      </c>
      <c r="L19" s="47" t="s">
        <v>261</v>
      </c>
      <c r="M19" s="12">
        <v>8</v>
      </c>
      <c r="N19" s="38">
        <v>1</v>
      </c>
      <c r="O19" s="39">
        <v>0</v>
      </c>
      <c r="P19" s="38">
        <v>0</v>
      </c>
      <c r="Q19" s="107">
        <f t="shared" si="1"/>
        <v>-1</v>
      </c>
      <c r="R19" s="105">
        <f t="shared" ref="R19" si="15">Q19+R18</f>
        <v>-14.350000000000001</v>
      </c>
      <c r="S19" s="12">
        <v>5.96</v>
      </c>
      <c r="T19" s="38">
        <f t="shared" ref="T19" si="16">N19</f>
        <v>1</v>
      </c>
      <c r="U19" s="39">
        <v>3.1</v>
      </c>
      <c r="V19" s="38">
        <f t="shared" ref="V19" si="17">P19</f>
        <v>0</v>
      </c>
      <c r="W19" s="109">
        <v>0</v>
      </c>
      <c r="X19" s="109">
        <f t="shared" ref="X19" si="18">ROUND(IF(OR($L19="1st",$L19="WON"),($S19*$T19)+($U19*$V19),IF(OR($L19="2nd",$L19="3rd"),IF($U19="NTD",0,($U19*$V19))))-($T19+$V19),2)+W19</f>
        <v>-1</v>
      </c>
      <c r="Y19" s="105">
        <f t="shared" ref="Y19" si="19">X19+Y18</f>
        <v>-13.297800000000001</v>
      </c>
      <c r="Z19" s="120"/>
      <c r="AA19" s="118"/>
      <c r="AB19" s="113"/>
    </row>
    <row r="20" spans="1:28" outlineLevel="1" x14ac:dyDescent="0.2">
      <c r="A20" s="111"/>
      <c r="B20" s="48">
        <f t="shared" si="0"/>
        <v>17</v>
      </c>
      <c r="C20" s="36" t="s">
        <v>257</v>
      </c>
      <c r="D20" s="36" t="s">
        <v>77</v>
      </c>
      <c r="E20" s="86">
        <v>44138</v>
      </c>
      <c r="F20" s="74" t="s">
        <v>34</v>
      </c>
      <c r="G20" s="70" t="s">
        <v>52</v>
      </c>
      <c r="H20" s="70" t="s">
        <v>177</v>
      </c>
      <c r="I20" s="70">
        <v>1800</v>
      </c>
      <c r="J20" s="70" t="s">
        <v>224</v>
      </c>
      <c r="K20" s="70" t="s">
        <v>118</v>
      </c>
      <c r="L20" s="47" t="s">
        <v>213</v>
      </c>
      <c r="M20" s="12">
        <v>5</v>
      </c>
      <c r="N20" s="38">
        <v>3</v>
      </c>
      <c r="O20" s="39">
        <v>0</v>
      </c>
      <c r="P20" s="38">
        <v>0</v>
      </c>
      <c r="Q20" s="107">
        <f t="shared" si="1"/>
        <v>-3</v>
      </c>
      <c r="R20" s="105">
        <f t="shared" ref="R20" si="20">Q20+R19</f>
        <v>-17.350000000000001</v>
      </c>
      <c r="S20" s="12">
        <v>6.8</v>
      </c>
      <c r="T20" s="38">
        <f t="shared" ref="T20" si="21">N20</f>
        <v>3</v>
      </c>
      <c r="U20" s="39">
        <v>2.19</v>
      </c>
      <c r="V20" s="38">
        <f t="shared" ref="V20" si="22">P20</f>
        <v>0</v>
      </c>
      <c r="W20" s="109">
        <v>0</v>
      </c>
      <c r="X20" s="109">
        <f t="shared" ref="X20" si="23">ROUND(IF(OR($L20="1st",$L20="WON"),($S20*$T20)+($U20*$V20),IF(OR($L20="2nd",$L20="3rd"),IF($U20="NTD",0,($U20*$V20))))-($T20+$V20),2)+W20</f>
        <v>-3</v>
      </c>
      <c r="Y20" s="105">
        <f t="shared" ref="Y20" si="24">X20+Y19</f>
        <v>-16.297800000000002</v>
      </c>
      <c r="Z20" s="120"/>
      <c r="AA20" s="118"/>
      <c r="AB20" s="113"/>
    </row>
    <row r="21" spans="1:28" outlineLevel="1" x14ac:dyDescent="0.2">
      <c r="A21" s="111"/>
      <c r="B21" s="48">
        <f t="shared" si="0"/>
        <v>18</v>
      </c>
      <c r="C21" s="36" t="s">
        <v>186</v>
      </c>
      <c r="D21" s="36" t="s">
        <v>77</v>
      </c>
      <c r="E21" s="86">
        <v>44138</v>
      </c>
      <c r="F21" s="74" t="s">
        <v>34</v>
      </c>
      <c r="G21" s="70" t="s">
        <v>32</v>
      </c>
      <c r="H21" s="70" t="s">
        <v>194</v>
      </c>
      <c r="I21" s="70">
        <v>1400</v>
      </c>
      <c r="J21" s="70" t="s">
        <v>224</v>
      </c>
      <c r="K21" s="70" t="s">
        <v>118</v>
      </c>
      <c r="L21" s="47" t="s">
        <v>15</v>
      </c>
      <c r="M21" s="12">
        <v>4.4000000000000004</v>
      </c>
      <c r="N21" s="38">
        <v>4</v>
      </c>
      <c r="O21" s="39">
        <v>0</v>
      </c>
      <c r="P21" s="38">
        <v>0</v>
      </c>
      <c r="Q21" s="107">
        <f t="shared" si="1"/>
        <v>-4</v>
      </c>
      <c r="R21" s="105">
        <f t="shared" ref="R21" si="25">Q21+R20</f>
        <v>-21.35</v>
      </c>
      <c r="S21" s="12">
        <v>3.46</v>
      </c>
      <c r="T21" s="38">
        <f t="shared" ref="T21" si="26">N21</f>
        <v>4</v>
      </c>
      <c r="U21" s="39">
        <v>1.75</v>
      </c>
      <c r="V21" s="38">
        <f t="shared" ref="V21" si="27">P21</f>
        <v>0</v>
      </c>
      <c r="W21" s="109">
        <v>0</v>
      </c>
      <c r="X21" s="109">
        <f t="shared" ref="X21" si="28">ROUND(IF(OR($L21="1st",$L21="WON"),($S21*$T21)+($U21*$V21),IF(OR($L21="2nd",$L21="3rd"),IF($U21="NTD",0,($U21*$V21))))-($T21+$V21),2)+W21</f>
        <v>-4</v>
      </c>
      <c r="Y21" s="105">
        <f t="shared" ref="Y21" si="29">X21+Y20</f>
        <v>-20.297800000000002</v>
      </c>
      <c r="Z21" s="120"/>
      <c r="AA21" s="118"/>
      <c r="AB21" s="113"/>
    </row>
    <row r="22" spans="1:28" outlineLevel="1" x14ac:dyDescent="0.2">
      <c r="A22" s="111"/>
      <c r="B22" s="115">
        <f t="shared" si="0"/>
        <v>19</v>
      </c>
      <c r="C22" s="36" t="s">
        <v>258</v>
      </c>
      <c r="D22" s="36" t="s">
        <v>77</v>
      </c>
      <c r="E22" s="86">
        <v>44138</v>
      </c>
      <c r="F22" s="74" t="s">
        <v>55</v>
      </c>
      <c r="G22" s="70" t="s">
        <v>16</v>
      </c>
      <c r="H22" s="70" t="s">
        <v>259</v>
      </c>
      <c r="I22" s="70">
        <v>1100</v>
      </c>
      <c r="J22" s="70" t="s">
        <v>260</v>
      </c>
      <c r="K22" s="70" t="s">
        <v>179</v>
      </c>
      <c r="L22" s="47" t="s">
        <v>15</v>
      </c>
      <c r="M22" s="12">
        <v>2.5</v>
      </c>
      <c r="N22" s="38">
        <v>5</v>
      </c>
      <c r="O22" s="39">
        <v>0</v>
      </c>
      <c r="P22" s="38">
        <v>0</v>
      </c>
      <c r="Q22" s="107">
        <f t="shared" si="1"/>
        <v>-5</v>
      </c>
      <c r="R22" s="105">
        <f t="shared" ref="R22" si="30">Q22+R21</f>
        <v>-26.35</v>
      </c>
      <c r="S22" s="12">
        <v>2.42</v>
      </c>
      <c r="T22" s="38">
        <f t="shared" ref="T22:T23" si="31">N22</f>
        <v>5</v>
      </c>
      <c r="U22" s="39">
        <v>1.21</v>
      </c>
      <c r="V22" s="38">
        <f t="shared" ref="V22" si="32">P22</f>
        <v>0</v>
      </c>
      <c r="W22" s="109">
        <v>0</v>
      </c>
      <c r="X22" s="109">
        <f t="shared" ref="X22" si="33">ROUND(IF(OR($L22="1st",$L22="WON"),($S22*$T22)+($U22*$V22),IF(OR($L22="2nd",$L22="3rd"),IF($U22="NTD",0,($U22*$V22))))-($T22+$V22),2)+W22</f>
        <v>-5</v>
      </c>
      <c r="Y22" s="105">
        <f t="shared" ref="Y22" si="34">X22+Y21</f>
        <v>-25.297800000000002</v>
      </c>
      <c r="Z22" s="120"/>
      <c r="AA22" s="118"/>
      <c r="AB22" s="113"/>
    </row>
    <row r="23" spans="1:28" x14ac:dyDescent="0.2">
      <c r="A23" s="111"/>
      <c r="B23" s="115">
        <f t="shared" si="0"/>
        <v>20</v>
      </c>
      <c r="C23" s="36" t="s">
        <v>253</v>
      </c>
      <c r="D23" s="36" t="s">
        <v>228</v>
      </c>
      <c r="E23" s="86">
        <v>44139</v>
      </c>
      <c r="F23" s="74" t="s">
        <v>38</v>
      </c>
      <c r="G23" s="70" t="s">
        <v>13</v>
      </c>
      <c r="H23" s="70" t="s">
        <v>70</v>
      </c>
      <c r="I23" s="70">
        <v>1100</v>
      </c>
      <c r="J23" s="70" t="s">
        <v>224</v>
      </c>
      <c r="K23" s="70" t="s">
        <v>118</v>
      </c>
      <c r="L23" s="47" t="s">
        <v>86</v>
      </c>
      <c r="M23" s="12">
        <v>34</v>
      </c>
      <c r="N23" s="65">
        <v>0.25</v>
      </c>
      <c r="O23" s="39">
        <v>0</v>
      </c>
      <c r="P23" s="38">
        <v>0</v>
      </c>
      <c r="Q23" s="107">
        <f t="shared" si="1"/>
        <v>-0.25</v>
      </c>
      <c r="R23" s="105">
        <f t="shared" ref="R23" si="35">Q23+R22</f>
        <v>-26.6</v>
      </c>
      <c r="S23" s="12">
        <v>85</v>
      </c>
      <c r="T23" s="65">
        <f t="shared" si="31"/>
        <v>0.25</v>
      </c>
      <c r="U23" s="39">
        <v>11.03</v>
      </c>
      <c r="V23" s="38">
        <f t="shared" ref="V23" si="36">P23</f>
        <v>0</v>
      </c>
      <c r="W23" s="109">
        <v>0</v>
      </c>
      <c r="X23" s="109">
        <f t="shared" ref="X23" si="37">ROUND(IF(OR($L23="1st",$L23="WON"),($S23*$T23)+($U23*$V23),IF(OR($L23="2nd",$L23="3rd"),IF($U23="NTD",0,($U23*$V23))))-($T23+$V23),2)+W23</f>
        <v>-0.25</v>
      </c>
      <c r="Y23" s="105">
        <f t="shared" ref="Y23" si="38">X23+Y22</f>
        <v>-25.547800000000002</v>
      </c>
      <c r="Z23" s="120" t="s">
        <v>86</v>
      </c>
      <c r="AA23" s="118" t="s">
        <v>340</v>
      </c>
      <c r="AB23" s="113"/>
    </row>
    <row r="24" spans="1:28" x14ac:dyDescent="0.2">
      <c r="A24" s="111"/>
      <c r="B24" s="115">
        <f t="shared" si="0"/>
        <v>21</v>
      </c>
      <c r="C24" s="36" t="s">
        <v>264</v>
      </c>
      <c r="D24" s="36" t="s">
        <v>228</v>
      </c>
      <c r="E24" s="86">
        <v>44140</v>
      </c>
      <c r="F24" s="74" t="s">
        <v>34</v>
      </c>
      <c r="G24" s="70" t="s">
        <v>39</v>
      </c>
      <c r="H24" s="70" t="s">
        <v>194</v>
      </c>
      <c r="I24" s="70">
        <v>1000</v>
      </c>
      <c r="J24" s="70" t="s">
        <v>245</v>
      </c>
      <c r="K24" s="70" t="s">
        <v>118</v>
      </c>
      <c r="L24" s="47" t="s">
        <v>12</v>
      </c>
      <c r="M24" s="12">
        <v>5.5</v>
      </c>
      <c r="N24" s="38">
        <v>2</v>
      </c>
      <c r="O24" s="39">
        <v>0</v>
      </c>
      <c r="P24" s="38">
        <v>0</v>
      </c>
      <c r="Q24" s="107">
        <f t="shared" si="1"/>
        <v>9</v>
      </c>
      <c r="R24" s="105">
        <f t="shared" ref="R24" si="39">Q24+R23</f>
        <v>-17.600000000000001</v>
      </c>
      <c r="S24" s="12">
        <v>6.67</v>
      </c>
      <c r="T24" s="38">
        <f t="shared" ref="T24" si="40">N24</f>
        <v>2</v>
      </c>
      <c r="U24" s="39">
        <v>2.14</v>
      </c>
      <c r="V24" s="38">
        <f t="shared" ref="V24" si="41">P24</f>
        <v>0</v>
      </c>
      <c r="W24" s="109">
        <f>-(((T24*S24)-T24)*0.06)</f>
        <v>-0.6804</v>
      </c>
      <c r="X24" s="109">
        <f t="shared" ref="X24" si="42">ROUND(IF(OR($L24="1st",$L24="WON"),($S24*$T24)+($U24*$V24),IF(OR($L24="2nd",$L24="3rd"),IF($U24="NTD",0,($U24*$V24))))-($T24+$V24),2)+W24</f>
        <v>10.659599999999999</v>
      </c>
      <c r="Y24" s="116">
        <f t="shared" ref="Y24" si="43">X24+Y23</f>
        <v>-14.888200000000003</v>
      </c>
      <c r="Z24" s="121"/>
      <c r="AA24" s="118"/>
      <c r="AB24" s="114"/>
    </row>
    <row r="25" spans="1:28" x14ac:dyDescent="0.2">
      <c r="A25" s="111"/>
      <c r="B25" s="115">
        <f t="shared" si="0"/>
        <v>22</v>
      </c>
      <c r="C25" s="36" t="s">
        <v>265</v>
      </c>
      <c r="D25" s="36" t="s">
        <v>228</v>
      </c>
      <c r="E25" s="86">
        <v>44140</v>
      </c>
      <c r="F25" s="74" t="s">
        <v>34</v>
      </c>
      <c r="G25" s="70" t="s">
        <v>39</v>
      </c>
      <c r="H25" s="70" t="s">
        <v>194</v>
      </c>
      <c r="I25" s="70">
        <v>1000</v>
      </c>
      <c r="J25" s="70" t="s">
        <v>245</v>
      </c>
      <c r="K25" s="70" t="s">
        <v>118</v>
      </c>
      <c r="L25" s="47" t="s">
        <v>76</v>
      </c>
      <c r="M25" s="12">
        <v>5.5</v>
      </c>
      <c r="N25" s="38">
        <v>1.5</v>
      </c>
      <c r="O25" s="39">
        <v>0</v>
      </c>
      <c r="P25" s="38">
        <v>0</v>
      </c>
      <c r="Q25" s="107">
        <f t="shared" si="1"/>
        <v>-1.5</v>
      </c>
      <c r="R25" s="105">
        <f t="shared" ref="R25" si="44">Q25+R24</f>
        <v>-19.100000000000001</v>
      </c>
      <c r="S25" s="12">
        <v>9.1999999999999993</v>
      </c>
      <c r="T25" s="38">
        <f t="shared" ref="T25" si="45">N25</f>
        <v>1.5</v>
      </c>
      <c r="U25" s="39">
        <v>2.96</v>
      </c>
      <c r="V25" s="38">
        <f t="shared" ref="V25" si="46">P25</f>
        <v>0</v>
      </c>
      <c r="W25" s="109">
        <v>0</v>
      </c>
      <c r="X25" s="109">
        <f t="shared" ref="X25" si="47">ROUND(IF(OR($L25="1st",$L25="WON"),($S25*$T25)+($U25*$V25),IF(OR($L25="2nd",$L25="3rd"),IF($U25="NTD",0,($U25*$V25))))-($T25+$V25),2)+W25</f>
        <v>-1.5</v>
      </c>
      <c r="Y25" s="116">
        <f t="shared" ref="Y25" si="48">X25+Y24</f>
        <v>-16.388200000000005</v>
      </c>
      <c r="Z25" s="121"/>
      <c r="AA25" s="118"/>
      <c r="AB25" s="113"/>
    </row>
    <row r="26" spans="1:28" outlineLevel="1" x14ac:dyDescent="0.2">
      <c r="A26" s="111"/>
      <c r="B26" s="115">
        <f t="shared" si="0"/>
        <v>23</v>
      </c>
      <c r="C26" s="36" t="s">
        <v>266</v>
      </c>
      <c r="D26" s="36" t="s">
        <v>77</v>
      </c>
      <c r="E26" s="86">
        <v>44140</v>
      </c>
      <c r="F26" s="74" t="s">
        <v>34</v>
      </c>
      <c r="G26" s="70" t="s">
        <v>28</v>
      </c>
      <c r="H26" s="70" t="s">
        <v>74</v>
      </c>
      <c r="I26" s="70">
        <v>1700</v>
      </c>
      <c r="J26" s="70" t="s">
        <v>245</v>
      </c>
      <c r="K26" s="70" t="s">
        <v>118</v>
      </c>
      <c r="L26" s="47" t="s">
        <v>111</v>
      </c>
      <c r="M26" s="12">
        <v>2.4</v>
      </c>
      <c r="N26" s="38">
        <v>5</v>
      </c>
      <c r="O26" s="39">
        <v>0</v>
      </c>
      <c r="P26" s="38">
        <v>0</v>
      </c>
      <c r="Q26" s="107">
        <f t="shared" si="1"/>
        <v>-5</v>
      </c>
      <c r="R26" s="105">
        <f t="shared" ref="R26" si="49">Q26+R25</f>
        <v>-24.1</v>
      </c>
      <c r="S26" s="12">
        <v>3.23</v>
      </c>
      <c r="T26" s="38">
        <f t="shared" ref="T26" si="50">N26</f>
        <v>5</v>
      </c>
      <c r="U26" s="39">
        <v>1.46</v>
      </c>
      <c r="V26" s="38">
        <f t="shared" ref="V26" si="51">P26</f>
        <v>0</v>
      </c>
      <c r="W26" s="109">
        <v>0</v>
      </c>
      <c r="X26" s="109">
        <f t="shared" ref="X26" si="52">ROUND(IF(OR($L26="1st",$L26="WON"),($S26*$T26)+($U26*$V26),IF(OR($L26="2nd",$L26="3rd"),IF($U26="NTD",0,($U26*$V26))))-($T26+$V26),2)+W26</f>
        <v>-5</v>
      </c>
      <c r="Y26" s="116">
        <f t="shared" ref="Y26" si="53">X26+Y25</f>
        <v>-21.388200000000005</v>
      </c>
      <c r="Z26" s="121"/>
      <c r="AA26" s="119"/>
      <c r="AB26" s="113"/>
    </row>
    <row r="27" spans="1:28" outlineLevel="1" x14ac:dyDescent="0.2">
      <c r="A27" s="111"/>
      <c r="B27" s="115">
        <f t="shared" si="0"/>
        <v>24</v>
      </c>
      <c r="C27" s="36" t="s">
        <v>267</v>
      </c>
      <c r="D27" s="36" t="s">
        <v>77</v>
      </c>
      <c r="E27" s="86">
        <v>44140</v>
      </c>
      <c r="F27" s="74" t="s">
        <v>34</v>
      </c>
      <c r="G27" s="70" t="s">
        <v>13</v>
      </c>
      <c r="H27" s="70" t="s">
        <v>270</v>
      </c>
      <c r="I27" s="70">
        <v>1000</v>
      </c>
      <c r="J27" s="70" t="s">
        <v>245</v>
      </c>
      <c r="K27" s="70" t="s">
        <v>118</v>
      </c>
      <c r="L27" s="47" t="s">
        <v>66</v>
      </c>
      <c r="M27" s="12">
        <v>10</v>
      </c>
      <c r="N27" s="38">
        <v>1</v>
      </c>
      <c r="O27" s="39">
        <v>0</v>
      </c>
      <c r="P27" s="38">
        <v>0</v>
      </c>
      <c r="Q27" s="107">
        <f t="shared" si="1"/>
        <v>-1</v>
      </c>
      <c r="R27" s="105">
        <f t="shared" ref="R27" si="54">Q27+R26</f>
        <v>-25.1</v>
      </c>
      <c r="S27" s="12">
        <v>11.5</v>
      </c>
      <c r="T27" s="38">
        <f t="shared" ref="T27" si="55">N27</f>
        <v>1</v>
      </c>
      <c r="U27" s="39">
        <v>2.78</v>
      </c>
      <c r="V27" s="38">
        <f t="shared" ref="V27" si="56">P27</f>
        <v>0</v>
      </c>
      <c r="W27" s="109">
        <v>0</v>
      </c>
      <c r="X27" s="109">
        <f t="shared" ref="X27" si="57">ROUND(IF(OR($L27="1st",$L27="WON"),($S27*$T27)+($U27*$V27),IF(OR($L27="2nd",$L27="3rd"),IF($U27="NTD",0,($U27*$V27))))-($T27+$V27),2)+W27</f>
        <v>-1</v>
      </c>
      <c r="Y27" s="116">
        <f t="shared" ref="Y27" si="58">X27+Y26</f>
        <v>-22.388200000000005</v>
      </c>
      <c r="Z27" s="121"/>
      <c r="AA27" s="119"/>
      <c r="AB27" s="113"/>
    </row>
    <row r="28" spans="1:28" outlineLevel="1" x14ac:dyDescent="0.2">
      <c r="A28" s="111"/>
      <c r="B28" s="115">
        <f t="shared" si="0"/>
        <v>25</v>
      </c>
      <c r="C28" s="36" t="s">
        <v>268</v>
      </c>
      <c r="D28" s="36" t="s">
        <v>77</v>
      </c>
      <c r="E28" s="86">
        <v>44140</v>
      </c>
      <c r="F28" s="74" t="s">
        <v>34</v>
      </c>
      <c r="G28" s="70" t="s">
        <v>37</v>
      </c>
      <c r="H28" s="70" t="s">
        <v>271</v>
      </c>
      <c r="I28" s="70">
        <v>1800</v>
      </c>
      <c r="J28" s="70" t="s">
        <v>245</v>
      </c>
      <c r="K28" s="70" t="s">
        <v>118</v>
      </c>
      <c r="L28" s="47" t="s">
        <v>86</v>
      </c>
      <c r="M28" s="12">
        <v>4.8</v>
      </c>
      <c r="N28" s="38">
        <v>3</v>
      </c>
      <c r="O28" s="39">
        <v>0</v>
      </c>
      <c r="P28" s="38">
        <v>0</v>
      </c>
      <c r="Q28" s="107">
        <f t="shared" si="1"/>
        <v>-3</v>
      </c>
      <c r="R28" s="105">
        <f t="shared" ref="R28" si="59">Q28+R27</f>
        <v>-28.1</v>
      </c>
      <c r="S28" s="12">
        <v>5.2</v>
      </c>
      <c r="T28" s="38">
        <f t="shared" ref="T28" si="60">N28</f>
        <v>3</v>
      </c>
      <c r="U28" s="39">
        <v>1.92</v>
      </c>
      <c r="V28" s="38">
        <f t="shared" ref="V28" si="61">P28</f>
        <v>0</v>
      </c>
      <c r="W28" s="109">
        <v>0</v>
      </c>
      <c r="X28" s="109">
        <f t="shared" ref="X28" si="62">ROUND(IF(OR($L28="1st",$L28="WON"),($S28*$T28)+($U28*$V28),IF(OR($L28="2nd",$L28="3rd"),IF($U28="NTD",0,($U28*$V28))))-($T28+$V28),2)+W28</f>
        <v>-3</v>
      </c>
      <c r="Y28" s="116">
        <f t="shared" ref="Y28" si="63">X28+Y27</f>
        <v>-25.388200000000005</v>
      </c>
      <c r="Z28" s="121"/>
      <c r="AA28" s="119"/>
      <c r="AB28" s="113"/>
    </row>
    <row r="29" spans="1:28" outlineLevel="1" x14ac:dyDescent="0.2">
      <c r="A29" s="111"/>
      <c r="B29" s="115">
        <f t="shared" si="0"/>
        <v>26</v>
      </c>
      <c r="C29" s="36" t="s">
        <v>269</v>
      </c>
      <c r="D29" s="36" t="s">
        <v>77</v>
      </c>
      <c r="E29" s="86">
        <v>44140</v>
      </c>
      <c r="F29" s="74" t="s">
        <v>34</v>
      </c>
      <c r="G29" s="70" t="s">
        <v>32</v>
      </c>
      <c r="H29" s="70" t="s">
        <v>194</v>
      </c>
      <c r="I29" s="70">
        <v>1100</v>
      </c>
      <c r="J29" s="70" t="s">
        <v>245</v>
      </c>
      <c r="K29" s="70" t="s">
        <v>118</v>
      </c>
      <c r="L29" s="47" t="s">
        <v>12</v>
      </c>
      <c r="M29" s="12">
        <v>1.9</v>
      </c>
      <c r="N29" s="38">
        <v>5</v>
      </c>
      <c r="O29" s="39">
        <v>0</v>
      </c>
      <c r="P29" s="38">
        <v>0</v>
      </c>
      <c r="Q29" s="107">
        <f t="shared" si="1"/>
        <v>4.5</v>
      </c>
      <c r="R29" s="105">
        <f t="shared" ref="R29" si="64">Q29+R28</f>
        <v>-23.6</v>
      </c>
      <c r="S29" s="12">
        <v>1.83</v>
      </c>
      <c r="T29" s="38">
        <f t="shared" ref="T29" si="65">N29</f>
        <v>5</v>
      </c>
      <c r="U29" s="39">
        <v>1.24</v>
      </c>
      <c r="V29" s="38">
        <f t="shared" ref="V29" si="66">P29</f>
        <v>0</v>
      </c>
      <c r="W29" s="109">
        <f>-(((T29*S29)-T29)*0.06)</f>
        <v>-0.249</v>
      </c>
      <c r="X29" s="109">
        <f t="shared" ref="X29" si="67">ROUND(IF(OR($L29="1st",$L29="WON"),($S29*$T29)+($U29*$V29),IF(OR($L29="2nd",$L29="3rd"),IF($U29="NTD",0,($U29*$V29))))-($T29+$V29),2)+W29</f>
        <v>3.9010000000000002</v>
      </c>
      <c r="Y29" s="116">
        <f t="shared" ref="Y29" si="68">X29+Y28</f>
        <v>-21.487200000000005</v>
      </c>
      <c r="Z29" s="121"/>
      <c r="AA29" s="119"/>
      <c r="AB29" s="114"/>
    </row>
    <row r="30" spans="1:28" x14ac:dyDescent="0.2">
      <c r="A30" s="111"/>
      <c r="B30" s="115">
        <f t="shared" si="0"/>
        <v>27</v>
      </c>
      <c r="C30" s="36" t="s">
        <v>97</v>
      </c>
      <c r="D30" s="36" t="s">
        <v>228</v>
      </c>
      <c r="E30" s="86">
        <v>44141</v>
      </c>
      <c r="F30" s="74" t="s">
        <v>46</v>
      </c>
      <c r="G30" s="70" t="s">
        <v>28</v>
      </c>
      <c r="H30" s="70" t="s">
        <v>70</v>
      </c>
      <c r="I30" s="70">
        <v>1100</v>
      </c>
      <c r="J30" s="70" t="s">
        <v>224</v>
      </c>
      <c r="K30" s="70" t="s">
        <v>118</v>
      </c>
      <c r="L30" s="47" t="s">
        <v>11</v>
      </c>
      <c r="M30" s="12">
        <v>2.2000000000000002</v>
      </c>
      <c r="N30" s="38">
        <v>4</v>
      </c>
      <c r="O30" s="39">
        <v>0</v>
      </c>
      <c r="P30" s="38">
        <v>0</v>
      </c>
      <c r="Q30" s="107">
        <f t="shared" si="1"/>
        <v>-4</v>
      </c>
      <c r="R30" s="105">
        <f t="shared" ref="R30" si="69">Q30+R29</f>
        <v>-27.6</v>
      </c>
      <c r="S30" s="12">
        <v>1.63</v>
      </c>
      <c r="T30" s="38">
        <f t="shared" ref="T30" si="70">N30</f>
        <v>4</v>
      </c>
      <c r="U30" s="39">
        <v>1.1000000000000001</v>
      </c>
      <c r="V30" s="38">
        <f t="shared" ref="V30" si="71">P30</f>
        <v>0</v>
      </c>
      <c r="W30" s="109">
        <v>0</v>
      </c>
      <c r="X30" s="109">
        <f t="shared" ref="X30" si="72">ROUND(IF(OR($L30="1st",$L30="WON"),($S30*$T30)+($U30*$V30),IF(OR($L30="2nd",$L30="3rd"),IF($U30="NTD",0,($U30*$V30))))-($T30+$V30),2)+W30</f>
        <v>-4</v>
      </c>
      <c r="Y30" s="116">
        <f t="shared" ref="Y30" si="73">X30+Y29</f>
        <v>-25.487200000000005</v>
      </c>
      <c r="Z30" s="121" t="s">
        <v>15</v>
      </c>
      <c r="AA30" s="119" t="s">
        <v>341</v>
      </c>
      <c r="AB30" s="113"/>
    </row>
    <row r="31" spans="1:28" x14ac:dyDescent="0.2">
      <c r="A31" s="111"/>
      <c r="B31" s="115">
        <f t="shared" si="0"/>
        <v>28</v>
      </c>
      <c r="C31" s="36" t="s">
        <v>272</v>
      </c>
      <c r="D31" s="36" t="s">
        <v>228</v>
      </c>
      <c r="E31" s="86">
        <v>44141</v>
      </c>
      <c r="F31" s="74" t="s">
        <v>46</v>
      </c>
      <c r="G31" s="70" t="s">
        <v>28</v>
      </c>
      <c r="H31" s="70" t="s">
        <v>70</v>
      </c>
      <c r="I31" s="70">
        <v>1100</v>
      </c>
      <c r="J31" s="70" t="s">
        <v>224</v>
      </c>
      <c r="K31" s="70" t="s">
        <v>118</v>
      </c>
      <c r="L31" s="47" t="s">
        <v>12</v>
      </c>
      <c r="M31" s="12">
        <v>4.8</v>
      </c>
      <c r="N31" s="38">
        <v>1</v>
      </c>
      <c r="O31" s="39">
        <v>0</v>
      </c>
      <c r="P31" s="38">
        <v>0</v>
      </c>
      <c r="Q31" s="107">
        <f t="shared" si="1"/>
        <v>3.8</v>
      </c>
      <c r="R31" s="105">
        <f t="shared" ref="R31" si="74">Q31+R30</f>
        <v>-23.8</v>
      </c>
      <c r="S31" s="12">
        <v>6.29</v>
      </c>
      <c r="T31" s="38">
        <f t="shared" ref="T31" si="75">N31</f>
        <v>1</v>
      </c>
      <c r="U31" s="39">
        <v>1.85</v>
      </c>
      <c r="V31" s="38">
        <f t="shared" ref="V31" si="76">P31</f>
        <v>0</v>
      </c>
      <c r="W31" s="109">
        <f>-(((T31*S31)-T31)*0.06)</f>
        <v>-0.31740000000000002</v>
      </c>
      <c r="X31" s="109">
        <f t="shared" ref="X31" si="77">ROUND(IF(OR($L31="1st",$L31="WON"),($S31*$T31)+($U31*$V31),IF(OR($L31="2nd",$L31="3rd"),IF($U31="NTD",0,($U31*$V31))))-($T31+$V31),2)+W31</f>
        <v>4.9725999999999999</v>
      </c>
      <c r="Y31" s="116">
        <f t="shared" ref="Y31" si="78">X31+Y30</f>
        <v>-20.514600000000005</v>
      </c>
      <c r="Z31" s="121"/>
      <c r="AA31" s="119"/>
      <c r="AB31" s="113"/>
    </row>
    <row r="32" spans="1:28" x14ac:dyDescent="0.2">
      <c r="A32" s="111"/>
      <c r="B32" s="115">
        <f t="shared" si="0"/>
        <v>29</v>
      </c>
      <c r="C32" s="36" t="s">
        <v>274</v>
      </c>
      <c r="D32" s="36" t="s">
        <v>228</v>
      </c>
      <c r="E32" s="86">
        <v>44142</v>
      </c>
      <c r="F32" s="74" t="s">
        <v>57</v>
      </c>
      <c r="G32" s="70" t="s">
        <v>13</v>
      </c>
      <c r="H32" s="70" t="s">
        <v>70</v>
      </c>
      <c r="I32" s="70">
        <v>1200</v>
      </c>
      <c r="J32" s="70" t="s">
        <v>224</v>
      </c>
      <c r="K32" s="70" t="s">
        <v>118</v>
      </c>
      <c r="L32" s="47" t="s">
        <v>11</v>
      </c>
      <c r="M32" s="12">
        <v>11</v>
      </c>
      <c r="N32" s="38">
        <v>0.5</v>
      </c>
      <c r="O32" s="39">
        <v>0</v>
      </c>
      <c r="P32" s="38">
        <v>0</v>
      </c>
      <c r="Q32" s="107">
        <f t="shared" si="1"/>
        <v>-0.5</v>
      </c>
      <c r="R32" s="105">
        <f t="shared" ref="R32" si="79">Q32+R31</f>
        <v>-24.3</v>
      </c>
      <c r="S32" s="12" t="s">
        <v>64</v>
      </c>
      <c r="T32" s="38">
        <f t="shared" ref="T32" si="80">N32</f>
        <v>0.5</v>
      </c>
      <c r="U32" s="39">
        <v>4.8</v>
      </c>
      <c r="V32" s="38">
        <f t="shared" ref="V32" si="81">P32</f>
        <v>0</v>
      </c>
      <c r="W32" s="109">
        <v>0</v>
      </c>
      <c r="X32" s="109">
        <f t="shared" ref="X32" si="82">ROUND(IF(OR($L32="1st",$L32="WON"),($S32*$T32)+($U32*$V32),IF(OR($L32="2nd",$L32="3rd"),IF($U32="NTD",0,($U32*$V32))))-($T32+$V32),2)+W32</f>
        <v>-0.5</v>
      </c>
      <c r="Y32" s="116">
        <f t="shared" ref="Y32" si="83">X32+Y31</f>
        <v>-21.014600000000005</v>
      </c>
      <c r="Z32" s="121" t="s">
        <v>12</v>
      </c>
      <c r="AA32" s="119" t="s">
        <v>342</v>
      </c>
      <c r="AB32" s="113"/>
    </row>
    <row r="33" spans="1:28" outlineLevel="1" x14ac:dyDescent="0.2">
      <c r="A33" s="111"/>
      <c r="B33" s="115">
        <f t="shared" si="0"/>
        <v>30</v>
      </c>
      <c r="C33" s="36" t="s">
        <v>226</v>
      </c>
      <c r="D33" s="36" t="s">
        <v>77</v>
      </c>
      <c r="E33" s="86">
        <v>44142</v>
      </c>
      <c r="F33" s="74" t="s">
        <v>34</v>
      </c>
      <c r="G33" s="70" t="s">
        <v>39</v>
      </c>
      <c r="H33" s="70" t="s">
        <v>177</v>
      </c>
      <c r="I33" s="70">
        <v>1400</v>
      </c>
      <c r="J33" s="70" t="s">
        <v>224</v>
      </c>
      <c r="K33" s="70" t="s">
        <v>118</v>
      </c>
      <c r="L33" s="47" t="s">
        <v>12</v>
      </c>
      <c r="M33" s="12">
        <v>3.6</v>
      </c>
      <c r="N33" s="38">
        <v>3</v>
      </c>
      <c r="O33" s="39">
        <v>0</v>
      </c>
      <c r="P33" s="38">
        <v>0</v>
      </c>
      <c r="Q33" s="107">
        <f t="shared" si="1"/>
        <v>7.8</v>
      </c>
      <c r="R33" s="105">
        <f t="shared" ref="R33" si="84">Q33+R32</f>
        <v>-16.5</v>
      </c>
      <c r="S33" s="12">
        <v>3.42</v>
      </c>
      <c r="T33" s="38">
        <f t="shared" ref="T33" si="85">N33</f>
        <v>3</v>
      </c>
      <c r="U33" s="39">
        <v>1.45</v>
      </c>
      <c r="V33" s="38">
        <f t="shared" ref="V33" si="86">P33</f>
        <v>0</v>
      </c>
      <c r="W33" s="109">
        <f>-(((T33*S33)-T33)*0.06)</f>
        <v>-0.43559999999999999</v>
      </c>
      <c r="X33" s="109">
        <f t="shared" ref="X33" si="87">ROUND(IF(OR($L33="1st",$L33="WON"),($S33*$T33)+($U33*$V33),IF(OR($L33="2nd",$L33="3rd"),IF($U33="NTD",0,($U33*$V33))))-($T33+$V33),2)+W33</f>
        <v>6.8243999999999998</v>
      </c>
      <c r="Y33" s="116">
        <f t="shared" ref="Y33" si="88">X33+Y32</f>
        <v>-14.190200000000004</v>
      </c>
      <c r="Z33" s="121"/>
      <c r="AA33" s="119"/>
      <c r="AB33" s="113"/>
    </row>
    <row r="34" spans="1:28" outlineLevel="1" x14ac:dyDescent="0.2">
      <c r="A34" s="111"/>
      <c r="B34" s="115">
        <f t="shared" si="0"/>
        <v>31</v>
      </c>
      <c r="C34" s="36" t="s">
        <v>91</v>
      </c>
      <c r="D34" s="36" t="s">
        <v>77</v>
      </c>
      <c r="E34" s="86">
        <v>44142</v>
      </c>
      <c r="F34" s="74" t="s">
        <v>34</v>
      </c>
      <c r="G34" s="70" t="s">
        <v>16</v>
      </c>
      <c r="H34" s="70" t="s">
        <v>200</v>
      </c>
      <c r="I34" s="70">
        <v>2000</v>
      </c>
      <c r="J34" s="70" t="s">
        <v>224</v>
      </c>
      <c r="K34" s="70" t="s">
        <v>118</v>
      </c>
      <c r="L34" s="47" t="s">
        <v>12</v>
      </c>
      <c r="M34" s="12">
        <v>11</v>
      </c>
      <c r="N34" s="38">
        <v>1</v>
      </c>
      <c r="O34" s="39">
        <v>0</v>
      </c>
      <c r="P34" s="38">
        <v>0</v>
      </c>
      <c r="Q34" s="107">
        <f t="shared" si="1"/>
        <v>10</v>
      </c>
      <c r="R34" s="105">
        <f t="shared" ref="R34" si="89">Q34+R33</f>
        <v>-6.5</v>
      </c>
      <c r="S34" s="12">
        <v>7.6</v>
      </c>
      <c r="T34" s="38">
        <f t="shared" ref="T34" si="90">N34</f>
        <v>1</v>
      </c>
      <c r="U34" s="39">
        <v>2.92</v>
      </c>
      <c r="V34" s="38">
        <f t="shared" ref="V34" si="91">P34</f>
        <v>0</v>
      </c>
      <c r="W34" s="109">
        <f>-(((T34*S34)-T34)*0.06)</f>
        <v>-0.39599999999999996</v>
      </c>
      <c r="X34" s="109">
        <f t="shared" ref="X34" si="92">ROUND(IF(OR($L34="1st",$L34="WON"),($S34*$T34)+($U34*$V34),IF(OR($L34="2nd",$L34="3rd"),IF($U34="NTD",0,($U34*$V34))))-($T34+$V34),2)+W34</f>
        <v>6.2039999999999997</v>
      </c>
      <c r="Y34" s="116">
        <f t="shared" ref="Y34" si="93">X34+Y33</f>
        <v>-7.9862000000000046</v>
      </c>
      <c r="Z34" s="121"/>
      <c r="AA34" s="119"/>
      <c r="AB34" s="113"/>
    </row>
    <row r="35" spans="1:28" outlineLevel="1" x14ac:dyDescent="0.2">
      <c r="A35" s="111"/>
      <c r="B35" s="115">
        <f t="shared" si="0"/>
        <v>32</v>
      </c>
      <c r="C35" s="36" t="s">
        <v>276</v>
      </c>
      <c r="D35" s="36" t="s">
        <v>77</v>
      </c>
      <c r="E35" s="86">
        <v>44142</v>
      </c>
      <c r="F35" s="74" t="s">
        <v>34</v>
      </c>
      <c r="G35" s="70" t="s">
        <v>52</v>
      </c>
      <c r="H35" s="70" t="s">
        <v>199</v>
      </c>
      <c r="I35" s="70">
        <v>2000</v>
      </c>
      <c r="J35" s="70" t="s">
        <v>224</v>
      </c>
      <c r="K35" s="70" t="s">
        <v>118</v>
      </c>
      <c r="L35" s="47" t="s">
        <v>12</v>
      </c>
      <c r="M35" s="12">
        <f>2.7-(2.7*0.15)</f>
        <v>2.2949999999999999</v>
      </c>
      <c r="N35" s="38">
        <v>5</v>
      </c>
      <c r="O35" s="39">
        <v>0</v>
      </c>
      <c r="P35" s="38">
        <v>0</v>
      </c>
      <c r="Q35" s="107">
        <f t="shared" si="1"/>
        <v>6.48</v>
      </c>
      <c r="R35" s="105">
        <f t="shared" ref="R35" si="94">Q35+R34</f>
        <v>-1.9999999999999574E-2</v>
      </c>
      <c r="S35" s="12">
        <v>2.42</v>
      </c>
      <c r="T35" s="38">
        <f t="shared" ref="T35" si="95">N35</f>
        <v>5</v>
      </c>
      <c r="U35" s="39">
        <v>1.41</v>
      </c>
      <c r="V35" s="38">
        <f t="shared" ref="V35" si="96">P35</f>
        <v>0</v>
      </c>
      <c r="W35" s="109">
        <f>-(((T35*S35)-T35)*0.06)</f>
        <v>-0.42599999999999999</v>
      </c>
      <c r="X35" s="109">
        <f t="shared" ref="X35" si="97">ROUND(IF(OR($L35="1st",$L35="WON"),($S35*$T35)+($U35*$V35),IF(OR($L35="2nd",$L35="3rd"),IF($U35="NTD",0,($U35*$V35))))-($T35+$V35),2)+W35</f>
        <v>6.6739999999999995</v>
      </c>
      <c r="Y35" s="116">
        <f t="shared" ref="Y35" si="98">X35+Y34</f>
        <v>-1.3122000000000051</v>
      </c>
      <c r="Z35" s="121"/>
      <c r="AA35" s="119"/>
      <c r="AB35" s="113"/>
    </row>
    <row r="36" spans="1:28" outlineLevel="1" x14ac:dyDescent="0.2">
      <c r="A36" s="111"/>
      <c r="B36" s="115">
        <f t="shared" si="0"/>
        <v>33</v>
      </c>
      <c r="C36" s="36" t="s">
        <v>277</v>
      </c>
      <c r="D36" s="36" t="s">
        <v>77</v>
      </c>
      <c r="E36" s="86">
        <v>44142</v>
      </c>
      <c r="F36" s="74" t="s">
        <v>95</v>
      </c>
      <c r="G36" s="70" t="s">
        <v>16</v>
      </c>
      <c r="H36" s="70" t="s">
        <v>200</v>
      </c>
      <c r="I36" s="70">
        <v>1400</v>
      </c>
      <c r="J36" s="70" t="s">
        <v>260</v>
      </c>
      <c r="K36" s="70" t="s">
        <v>179</v>
      </c>
      <c r="L36" s="47" t="s">
        <v>61</v>
      </c>
      <c r="M36" s="12">
        <v>3.7</v>
      </c>
      <c r="N36" s="38">
        <v>4</v>
      </c>
      <c r="O36" s="39">
        <v>0</v>
      </c>
      <c r="P36" s="38">
        <v>0</v>
      </c>
      <c r="Q36" s="107">
        <f t="shared" si="1"/>
        <v>-4</v>
      </c>
      <c r="R36" s="105">
        <f t="shared" ref="R36" si="99">Q36+R35</f>
        <v>-4.0199999999999996</v>
      </c>
      <c r="S36" s="12">
        <v>3.76</v>
      </c>
      <c r="T36" s="38">
        <f t="shared" ref="T36" si="100">N36</f>
        <v>4</v>
      </c>
      <c r="U36" s="39">
        <v>1.47</v>
      </c>
      <c r="V36" s="38">
        <f t="shared" ref="V36" si="101">P36</f>
        <v>0</v>
      </c>
      <c r="W36" s="109">
        <v>0</v>
      </c>
      <c r="X36" s="109">
        <f t="shared" ref="X36" si="102">ROUND(IF(OR($L36="1st",$L36="WON"),($S36*$T36)+($U36*$V36),IF(OR($L36="2nd",$L36="3rd"),IF($U36="NTD",0,($U36*$V36))))-($T36+$V36),2)+W36</f>
        <v>-4</v>
      </c>
      <c r="Y36" s="116">
        <f t="shared" ref="Y36" si="103">X36+Y35</f>
        <v>-5.3122000000000051</v>
      </c>
      <c r="Z36" s="121"/>
      <c r="AA36" s="119"/>
      <c r="AB36" s="113"/>
    </row>
    <row r="37" spans="1:28" x14ac:dyDescent="0.2">
      <c r="A37" s="111"/>
      <c r="B37" s="115">
        <f t="shared" si="0"/>
        <v>34</v>
      </c>
      <c r="C37" s="36" t="s">
        <v>279</v>
      </c>
      <c r="D37" s="36" t="s">
        <v>228</v>
      </c>
      <c r="E37" s="86">
        <v>44143</v>
      </c>
      <c r="F37" s="74" t="s">
        <v>14</v>
      </c>
      <c r="G37" s="70" t="s">
        <v>28</v>
      </c>
      <c r="H37" s="70" t="s">
        <v>70</v>
      </c>
      <c r="I37" s="70">
        <v>1100</v>
      </c>
      <c r="J37" s="70" t="s">
        <v>224</v>
      </c>
      <c r="K37" s="70" t="s">
        <v>118</v>
      </c>
      <c r="L37" s="47" t="s">
        <v>12</v>
      </c>
      <c r="M37" s="12">
        <v>4</v>
      </c>
      <c r="N37" s="38">
        <v>4</v>
      </c>
      <c r="O37" s="39">
        <v>0</v>
      </c>
      <c r="P37" s="38">
        <v>0</v>
      </c>
      <c r="Q37" s="107">
        <f t="shared" si="1"/>
        <v>12</v>
      </c>
      <c r="R37" s="105">
        <f t="shared" ref="R37" si="104">Q37+R36</f>
        <v>7.98</v>
      </c>
      <c r="S37" s="12">
        <v>3.28</v>
      </c>
      <c r="T37" s="38">
        <f t="shared" ref="T37" si="105">N37</f>
        <v>4</v>
      </c>
      <c r="U37" s="39">
        <v>1.6</v>
      </c>
      <c r="V37" s="38">
        <f t="shared" ref="V37" si="106">P37</f>
        <v>0</v>
      </c>
      <c r="W37" s="109">
        <f>-(((T37*S37)-T37)*0.06)</f>
        <v>-0.54719999999999991</v>
      </c>
      <c r="X37" s="109">
        <f t="shared" ref="X37" si="107">ROUND(IF(OR($L37="1st",$L37="WON"),($S37*$T37)+($U37*$V37),IF(OR($L37="2nd",$L37="3rd"),IF($U37="NTD",0,($U37*$V37))))-($T37+$V37),2)+W37</f>
        <v>8.5727999999999991</v>
      </c>
      <c r="Y37" s="116">
        <f t="shared" ref="Y37" si="108">X37+Y36</f>
        <v>3.2605999999999939</v>
      </c>
      <c r="Z37" s="121"/>
      <c r="AA37" s="119"/>
      <c r="AB37" s="113"/>
    </row>
    <row r="38" spans="1:28" x14ac:dyDescent="0.2">
      <c r="A38" s="111"/>
      <c r="B38" s="115">
        <f t="shared" si="0"/>
        <v>35</v>
      </c>
      <c r="C38" s="45" t="s">
        <v>280</v>
      </c>
      <c r="D38" s="36" t="s">
        <v>228</v>
      </c>
      <c r="E38" s="86">
        <v>44143</v>
      </c>
      <c r="F38" s="74"/>
      <c r="G38" s="70"/>
      <c r="H38" s="70"/>
      <c r="I38" s="70"/>
      <c r="J38" s="70"/>
      <c r="K38" s="70"/>
      <c r="L38" s="47" t="s">
        <v>181</v>
      </c>
      <c r="M38" s="12">
        <f>M39*M40</f>
        <v>2.7224999999999997</v>
      </c>
      <c r="N38" s="38">
        <v>4</v>
      </c>
      <c r="O38" s="39">
        <f>O39*O40</f>
        <v>0</v>
      </c>
      <c r="P38" s="38">
        <v>0</v>
      </c>
      <c r="Q38" s="107">
        <f t="shared" si="1"/>
        <v>-4</v>
      </c>
      <c r="R38" s="105">
        <f t="shared" ref="R38" si="109">Q38+R37</f>
        <v>3.9800000000000004</v>
      </c>
      <c r="S38" s="12">
        <f>S39*S40</f>
        <v>2.0877999999999997</v>
      </c>
      <c r="T38" s="38">
        <f t="shared" ref="T38" si="110">N38</f>
        <v>4</v>
      </c>
      <c r="U38" s="39">
        <f>U39*U40</f>
        <v>1.3431000000000002</v>
      </c>
      <c r="V38" s="38">
        <f t="shared" ref="V38" si="111">P38</f>
        <v>0</v>
      </c>
      <c r="W38" s="109">
        <v>0</v>
      </c>
      <c r="X38" s="109">
        <f t="shared" ref="X38" si="112">ROUND(IF(OR($L38="1st",$L38="WON"),($S38*$T38)+($U38*$V38),IF(OR($L38="2nd",$L38="3rd"),IF($U38="NTD",0,($U38*$V38))))-($T38+$V38),2)+W38</f>
        <v>-4</v>
      </c>
      <c r="Y38" s="116">
        <f t="shared" ref="Y38" si="113">X38+Y37</f>
        <v>-0.73940000000000605</v>
      </c>
      <c r="Z38" s="121" t="s">
        <v>180</v>
      </c>
      <c r="AA38" s="119" t="s">
        <v>113</v>
      </c>
      <c r="AB38" s="113"/>
    </row>
    <row r="39" spans="1:28" x14ac:dyDescent="0.2">
      <c r="A39" s="111"/>
      <c r="B39" s="115"/>
      <c r="C39" s="44" t="s">
        <v>275</v>
      </c>
      <c r="D39" s="36" t="s">
        <v>228</v>
      </c>
      <c r="E39" s="86">
        <v>44143</v>
      </c>
      <c r="F39" s="74" t="s">
        <v>65</v>
      </c>
      <c r="G39" s="70" t="s">
        <v>28</v>
      </c>
      <c r="H39" s="70" t="s">
        <v>70</v>
      </c>
      <c r="I39" s="70">
        <v>1100</v>
      </c>
      <c r="J39" s="70" t="s">
        <v>224</v>
      </c>
      <c r="K39" s="70" t="s">
        <v>118</v>
      </c>
      <c r="L39" s="47" t="s">
        <v>61</v>
      </c>
      <c r="M39" s="12">
        <v>1.65</v>
      </c>
      <c r="N39" s="38"/>
      <c r="O39" s="39">
        <v>0</v>
      </c>
      <c r="P39" s="38"/>
      <c r="Q39" s="107">
        <f t="shared" si="1"/>
        <v>0</v>
      </c>
      <c r="R39" s="105">
        <f t="shared" ref="R39" si="114">Q39+R38</f>
        <v>3.9800000000000004</v>
      </c>
      <c r="S39" s="12">
        <v>1.46</v>
      </c>
      <c r="T39" s="38">
        <f t="shared" ref="T39" si="115">N39</f>
        <v>0</v>
      </c>
      <c r="U39" s="39">
        <v>1.21</v>
      </c>
      <c r="V39" s="38">
        <f t="shared" ref="V39" si="116">P39</f>
        <v>0</v>
      </c>
      <c r="W39" s="109">
        <v>0</v>
      </c>
      <c r="X39" s="109">
        <f t="shared" ref="X39" si="117">ROUND(IF(OR($L39="1st",$L39="WON"),($S39*$T39)+($U39*$V39),IF(OR($L39="2nd",$L39="3rd"),IF($U39="NTD",0,($U39*$V39))))-($T39+$V39),2)+W39</f>
        <v>0</v>
      </c>
      <c r="Y39" s="116">
        <f t="shared" ref="Y39" si="118">X39+Y38</f>
        <v>-0.73940000000000605</v>
      </c>
      <c r="Z39" s="121" t="s">
        <v>61</v>
      </c>
      <c r="AA39" s="119" t="s">
        <v>345</v>
      </c>
      <c r="AB39" s="113"/>
    </row>
    <row r="40" spans="1:28" x14ac:dyDescent="0.2">
      <c r="A40" s="111"/>
      <c r="B40" s="115"/>
      <c r="C40" s="44" t="s">
        <v>220</v>
      </c>
      <c r="D40" s="36" t="s">
        <v>228</v>
      </c>
      <c r="E40" s="86">
        <v>44144</v>
      </c>
      <c r="F40" s="74" t="s">
        <v>17</v>
      </c>
      <c r="G40" s="70" t="s">
        <v>28</v>
      </c>
      <c r="H40" s="70" t="s">
        <v>70</v>
      </c>
      <c r="I40" s="70">
        <v>1200</v>
      </c>
      <c r="J40" s="70" t="s">
        <v>224</v>
      </c>
      <c r="K40" s="70" t="s">
        <v>118</v>
      </c>
      <c r="L40" s="47" t="s">
        <v>12</v>
      </c>
      <c r="M40" s="12">
        <v>1.65</v>
      </c>
      <c r="N40" s="38"/>
      <c r="O40" s="39">
        <v>0</v>
      </c>
      <c r="P40" s="38"/>
      <c r="Q40" s="107">
        <f t="shared" si="1"/>
        <v>0</v>
      </c>
      <c r="R40" s="105">
        <f t="shared" ref="R40:R42" si="119">Q40+R39</f>
        <v>3.9800000000000004</v>
      </c>
      <c r="S40" s="12">
        <v>1.43</v>
      </c>
      <c r="T40" s="38">
        <f t="shared" ref="T40:T42" si="120">N40</f>
        <v>0</v>
      </c>
      <c r="U40" s="39">
        <v>1.1100000000000001</v>
      </c>
      <c r="V40" s="38">
        <f t="shared" ref="V40:V42" si="121">P40</f>
        <v>0</v>
      </c>
      <c r="W40" s="109">
        <v>0</v>
      </c>
      <c r="X40" s="109">
        <f t="shared" ref="X40:X42" si="122">ROUND(IF(OR($L40="1st",$L40="WON"),($S40*$T40)+($U40*$V40),IF(OR($L40="2nd",$L40="3rd"),IF($U40="NTD",0,($U40*$V40))))-($T40+$V40),2)+W40</f>
        <v>0</v>
      </c>
      <c r="Y40" s="116">
        <f t="shared" ref="Y40:Y42" si="123">X40+Y39</f>
        <v>-0.73940000000000605</v>
      </c>
      <c r="Z40" s="121" t="s">
        <v>61</v>
      </c>
      <c r="AA40" s="119" t="s">
        <v>346</v>
      </c>
      <c r="AB40" s="113"/>
    </row>
    <row r="41" spans="1:28" x14ac:dyDescent="0.2">
      <c r="A41" s="111"/>
      <c r="B41" s="115">
        <f>B38+1</f>
        <v>36</v>
      </c>
      <c r="C41" s="36" t="s">
        <v>233</v>
      </c>
      <c r="D41" s="36" t="s">
        <v>228</v>
      </c>
      <c r="E41" s="86">
        <v>44148</v>
      </c>
      <c r="F41" s="74" t="s">
        <v>38</v>
      </c>
      <c r="G41" s="70" t="s">
        <v>52</v>
      </c>
      <c r="H41" s="70" t="s">
        <v>70</v>
      </c>
      <c r="I41" s="70">
        <v>1100</v>
      </c>
      <c r="J41" s="70" t="s">
        <v>223</v>
      </c>
      <c r="K41" s="70" t="s">
        <v>118</v>
      </c>
      <c r="L41" s="47" t="s">
        <v>93</v>
      </c>
      <c r="M41" s="12">
        <v>10</v>
      </c>
      <c r="N41" s="38">
        <v>0.7</v>
      </c>
      <c r="O41" s="39">
        <v>3.2</v>
      </c>
      <c r="P41" s="38">
        <v>0.3</v>
      </c>
      <c r="Q41" s="107">
        <f t="shared" si="1"/>
        <v>-1</v>
      </c>
      <c r="R41" s="105">
        <f t="shared" si="119"/>
        <v>2.9800000000000004</v>
      </c>
      <c r="S41" s="12">
        <v>15</v>
      </c>
      <c r="T41" s="38">
        <f t="shared" si="120"/>
        <v>0.7</v>
      </c>
      <c r="U41" s="39">
        <v>3.93</v>
      </c>
      <c r="V41" s="38">
        <f t="shared" si="121"/>
        <v>0.3</v>
      </c>
      <c r="W41" s="109">
        <v>0</v>
      </c>
      <c r="X41" s="109">
        <f t="shared" si="122"/>
        <v>-1</v>
      </c>
      <c r="Y41" s="116">
        <f t="shared" si="123"/>
        <v>-1.7394000000000061</v>
      </c>
      <c r="Z41" s="121" t="s">
        <v>76</v>
      </c>
      <c r="AA41" s="119" t="s">
        <v>343</v>
      </c>
      <c r="AB41" s="113"/>
    </row>
    <row r="42" spans="1:28" outlineLevel="1" x14ac:dyDescent="0.2">
      <c r="A42" s="111"/>
      <c r="B42" s="115">
        <f t="shared" ref="B42:B67" si="124">B41+1</f>
        <v>37</v>
      </c>
      <c r="C42" s="36" t="s">
        <v>291</v>
      </c>
      <c r="D42" s="36" t="s">
        <v>77</v>
      </c>
      <c r="E42" s="86">
        <v>44149</v>
      </c>
      <c r="F42" s="74" t="s">
        <v>47</v>
      </c>
      <c r="G42" s="70" t="s">
        <v>39</v>
      </c>
      <c r="H42" s="70" t="s">
        <v>177</v>
      </c>
      <c r="I42" s="70">
        <v>1400</v>
      </c>
      <c r="J42" s="70" t="s">
        <v>224</v>
      </c>
      <c r="K42" s="70" t="s">
        <v>118</v>
      </c>
      <c r="L42" s="47" t="s">
        <v>11</v>
      </c>
      <c r="M42" s="12">
        <v>5</v>
      </c>
      <c r="N42" s="38">
        <v>3</v>
      </c>
      <c r="O42" s="39">
        <v>0</v>
      </c>
      <c r="P42" s="38">
        <v>0</v>
      </c>
      <c r="Q42" s="107">
        <f t="shared" si="1"/>
        <v>-3</v>
      </c>
      <c r="R42" s="105">
        <f t="shared" si="119"/>
        <v>-1.9999999999999574E-2</v>
      </c>
      <c r="S42" s="12">
        <v>5.73</v>
      </c>
      <c r="T42" s="38">
        <f t="shared" si="120"/>
        <v>3</v>
      </c>
      <c r="U42" s="39">
        <v>2.27</v>
      </c>
      <c r="V42" s="38">
        <f t="shared" si="121"/>
        <v>0</v>
      </c>
      <c r="W42" s="109">
        <v>0</v>
      </c>
      <c r="X42" s="109">
        <f t="shared" si="122"/>
        <v>-3</v>
      </c>
      <c r="Y42" s="116">
        <f t="shared" si="123"/>
        <v>-4.7394000000000061</v>
      </c>
      <c r="Z42" s="121"/>
      <c r="AA42" s="119"/>
      <c r="AB42" s="113"/>
    </row>
    <row r="43" spans="1:28" outlineLevel="1" x14ac:dyDescent="0.2">
      <c r="A43" s="111"/>
      <c r="B43" s="115">
        <f t="shared" si="124"/>
        <v>38</v>
      </c>
      <c r="C43" s="36" t="s">
        <v>292</v>
      </c>
      <c r="D43" s="36" t="s">
        <v>77</v>
      </c>
      <c r="E43" s="86">
        <v>44149</v>
      </c>
      <c r="F43" s="74" t="s">
        <v>47</v>
      </c>
      <c r="G43" s="70" t="s">
        <v>45</v>
      </c>
      <c r="H43" s="70" t="s">
        <v>194</v>
      </c>
      <c r="I43" s="70">
        <v>1500</v>
      </c>
      <c r="J43" s="70" t="s">
        <v>224</v>
      </c>
      <c r="K43" s="70" t="s">
        <v>118</v>
      </c>
      <c r="L43" s="47" t="s">
        <v>61</v>
      </c>
      <c r="M43" s="12">
        <v>12</v>
      </c>
      <c r="N43" s="38">
        <v>1</v>
      </c>
      <c r="O43" s="39">
        <v>0</v>
      </c>
      <c r="P43" s="38">
        <v>0</v>
      </c>
      <c r="Q43" s="107">
        <f t="shared" si="1"/>
        <v>-1</v>
      </c>
      <c r="R43" s="105">
        <f t="shared" ref="R43" si="125">Q43+R42</f>
        <v>-1.0199999999999996</v>
      </c>
      <c r="S43" s="12">
        <v>8.8000000000000007</v>
      </c>
      <c r="T43" s="38">
        <f t="shared" ref="T43" si="126">N43</f>
        <v>1</v>
      </c>
      <c r="U43" s="39">
        <v>3.64</v>
      </c>
      <c r="V43" s="38">
        <f t="shared" ref="V43" si="127">P43</f>
        <v>0</v>
      </c>
      <c r="W43" s="109">
        <v>0</v>
      </c>
      <c r="X43" s="109">
        <f t="shared" ref="X43" si="128">ROUND(IF(OR($L43="1st",$L43="WON"),($S43*$T43)+($U43*$V43),IF(OR($L43="2nd",$L43="3rd"),IF($U43="NTD",0,($U43*$V43))))-($T43+$V43),2)+W43</f>
        <v>-1</v>
      </c>
      <c r="Y43" s="116">
        <f t="shared" ref="Y43" si="129">X43+Y42</f>
        <v>-5.7394000000000061</v>
      </c>
      <c r="Z43" s="121"/>
      <c r="AA43" s="119"/>
      <c r="AB43" s="113"/>
    </row>
    <row r="44" spans="1:28" outlineLevel="1" x14ac:dyDescent="0.2">
      <c r="A44" s="111"/>
      <c r="B44" s="115">
        <f t="shared" si="124"/>
        <v>39</v>
      </c>
      <c r="C44" s="36" t="s">
        <v>293</v>
      </c>
      <c r="D44" s="36" t="s">
        <v>77</v>
      </c>
      <c r="E44" s="86">
        <v>44149</v>
      </c>
      <c r="F44" s="74" t="s">
        <v>47</v>
      </c>
      <c r="G44" s="70" t="s">
        <v>32</v>
      </c>
      <c r="H44" s="70" t="s">
        <v>194</v>
      </c>
      <c r="I44" s="70">
        <v>1800</v>
      </c>
      <c r="J44" s="70" t="s">
        <v>224</v>
      </c>
      <c r="K44" s="70" t="s">
        <v>118</v>
      </c>
      <c r="L44" s="47" t="s">
        <v>86</v>
      </c>
      <c r="M44" s="12">
        <v>6</v>
      </c>
      <c r="N44" s="38">
        <v>2</v>
      </c>
      <c r="O44" s="39">
        <v>0</v>
      </c>
      <c r="P44" s="38">
        <v>0</v>
      </c>
      <c r="Q44" s="107">
        <f t="shared" si="1"/>
        <v>-2</v>
      </c>
      <c r="R44" s="105">
        <f t="shared" ref="R44" si="130">Q44+R43</f>
        <v>-3.0199999999999996</v>
      </c>
      <c r="S44" s="12">
        <v>4.1100000000000003</v>
      </c>
      <c r="T44" s="38">
        <f t="shared" ref="T44" si="131">N44</f>
        <v>2</v>
      </c>
      <c r="U44" s="39">
        <v>1.92</v>
      </c>
      <c r="V44" s="38">
        <f t="shared" ref="V44" si="132">P44</f>
        <v>0</v>
      </c>
      <c r="W44" s="109">
        <v>0</v>
      </c>
      <c r="X44" s="109">
        <f t="shared" ref="X44" si="133">ROUND(IF(OR($L44="1st",$L44="WON"),($S44*$T44)+($U44*$V44),IF(OR($L44="2nd",$L44="3rd"),IF($U44="NTD",0,($U44*$V44))))-($T44+$V44),2)+W44</f>
        <v>-2</v>
      </c>
      <c r="Y44" s="116">
        <f t="shared" ref="Y44" si="134">X44+Y43</f>
        <v>-7.7394000000000061</v>
      </c>
      <c r="Z44" s="121"/>
      <c r="AA44" s="119"/>
      <c r="AB44" s="113"/>
    </row>
    <row r="45" spans="1:28" outlineLevel="1" x14ac:dyDescent="0.2">
      <c r="A45" s="111"/>
      <c r="B45" s="115">
        <f t="shared" si="124"/>
        <v>40</v>
      </c>
      <c r="C45" s="36" t="s">
        <v>42</v>
      </c>
      <c r="D45" s="36" t="s">
        <v>77</v>
      </c>
      <c r="E45" s="86">
        <v>44149</v>
      </c>
      <c r="F45" s="74" t="s">
        <v>47</v>
      </c>
      <c r="G45" s="70" t="s">
        <v>48</v>
      </c>
      <c r="H45" s="70" t="s">
        <v>194</v>
      </c>
      <c r="I45" s="70">
        <v>1500</v>
      </c>
      <c r="J45" s="70" t="s">
        <v>224</v>
      </c>
      <c r="K45" s="70" t="s">
        <v>118</v>
      </c>
      <c r="L45" s="47" t="s">
        <v>12</v>
      </c>
      <c r="M45" s="12">
        <v>4</v>
      </c>
      <c r="N45" s="38">
        <v>3</v>
      </c>
      <c r="O45" s="39">
        <v>0</v>
      </c>
      <c r="P45" s="38">
        <v>0</v>
      </c>
      <c r="Q45" s="107">
        <f t="shared" si="1"/>
        <v>9</v>
      </c>
      <c r="R45" s="105">
        <f t="shared" ref="R45" si="135">Q45+R44</f>
        <v>5.98</v>
      </c>
      <c r="S45" s="12">
        <v>4.5999999999999996</v>
      </c>
      <c r="T45" s="38">
        <f t="shared" ref="T45" si="136">N45</f>
        <v>3</v>
      </c>
      <c r="U45" s="39">
        <v>1.76</v>
      </c>
      <c r="V45" s="38">
        <f t="shared" ref="V45" si="137">P45</f>
        <v>0</v>
      </c>
      <c r="W45" s="109">
        <f>-(((T45*S45)-T45)*0.06)</f>
        <v>-0.64799999999999991</v>
      </c>
      <c r="X45" s="109">
        <f t="shared" ref="X45" si="138">ROUND(IF(OR($L45="1st",$L45="WON"),($S45*$T45)+($U45*$V45),IF(OR($L45="2nd",$L45="3rd"),IF($U45="NTD",0,($U45*$V45))))-($T45+$V45),2)+W45</f>
        <v>10.152000000000001</v>
      </c>
      <c r="Y45" s="116">
        <f t="shared" ref="Y45" si="139">X45+Y44</f>
        <v>2.412599999999995</v>
      </c>
      <c r="Z45" s="121"/>
      <c r="AA45" s="119"/>
      <c r="AB45" s="113"/>
    </row>
    <row r="46" spans="1:28" outlineLevel="1" x14ac:dyDescent="0.2">
      <c r="A46" s="111"/>
      <c r="B46" s="115">
        <f t="shared" si="124"/>
        <v>41</v>
      </c>
      <c r="C46" s="36" t="s">
        <v>294</v>
      </c>
      <c r="D46" s="36" t="s">
        <v>77</v>
      </c>
      <c r="E46" s="86">
        <v>44149</v>
      </c>
      <c r="F46" s="74" t="s">
        <v>54</v>
      </c>
      <c r="G46" s="70" t="s">
        <v>28</v>
      </c>
      <c r="H46" s="70" t="s">
        <v>295</v>
      </c>
      <c r="I46" s="70">
        <v>900</v>
      </c>
      <c r="J46" s="70" t="s">
        <v>224</v>
      </c>
      <c r="K46" s="70" t="s">
        <v>179</v>
      </c>
      <c r="L46" s="47" t="s">
        <v>12</v>
      </c>
      <c r="M46" s="12">
        <v>2.4</v>
      </c>
      <c r="N46" s="38">
        <v>5</v>
      </c>
      <c r="O46" s="39">
        <v>0</v>
      </c>
      <c r="P46" s="38">
        <v>0</v>
      </c>
      <c r="Q46" s="107">
        <f t="shared" si="1"/>
        <v>7</v>
      </c>
      <c r="R46" s="105">
        <f t="shared" ref="R46" si="140">Q46+R45</f>
        <v>12.98</v>
      </c>
      <c r="S46" s="12">
        <v>3.4</v>
      </c>
      <c r="T46" s="38">
        <f t="shared" ref="T46" si="141">N46</f>
        <v>5</v>
      </c>
      <c r="U46" s="39">
        <v>1.57</v>
      </c>
      <c r="V46" s="38">
        <f t="shared" ref="V46" si="142">P46</f>
        <v>0</v>
      </c>
      <c r="W46" s="109">
        <f>-(((T46*S46)-T46)*0.06)</f>
        <v>-0.72</v>
      </c>
      <c r="X46" s="109">
        <f t="shared" ref="X46" si="143">ROUND(IF(OR($L46="1st",$L46="WON"),($S46*$T46)+($U46*$V46),IF(OR($L46="2nd",$L46="3rd"),IF($U46="NTD",0,($U46*$V46))))-($T46+$V46),2)+W46</f>
        <v>11.28</v>
      </c>
      <c r="Y46" s="116">
        <f t="shared" ref="Y46" si="144">X46+Y45</f>
        <v>13.692599999999995</v>
      </c>
      <c r="Z46" s="121"/>
      <c r="AA46" s="119"/>
      <c r="AB46" s="113"/>
    </row>
    <row r="47" spans="1:28" x14ac:dyDescent="0.2">
      <c r="A47" s="111"/>
      <c r="B47" s="115">
        <f>B46+1</f>
        <v>42</v>
      </c>
      <c r="C47" s="36" t="s">
        <v>219</v>
      </c>
      <c r="D47" s="36" t="s">
        <v>228</v>
      </c>
      <c r="E47" s="86">
        <v>44152</v>
      </c>
      <c r="F47" s="74" t="s">
        <v>14</v>
      </c>
      <c r="G47" s="70" t="s">
        <v>13</v>
      </c>
      <c r="H47" s="70" t="s">
        <v>70</v>
      </c>
      <c r="I47" s="70">
        <v>1400</v>
      </c>
      <c r="J47" s="70" t="s">
        <v>224</v>
      </c>
      <c r="K47" s="70" t="s">
        <v>118</v>
      </c>
      <c r="L47" s="47" t="s">
        <v>12</v>
      </c>
      <c r="M47" s="12">
        <v>3</v>
      </c>
      <c r="N47" s="38">
        <v>3</v>
      </c>
      <c r="O47" s="39">
        <v>0</v>
      </c>
      <c r="P47" s="38">
        <v>0</v>
      </c>
      <c r="Q47" s="107">
        <f t="shared" si="1"/>
        <v>6</v>
      </c>
      <c r="R47" s="105">
        <f t="shared" ref="R47" si="145">Q47+R46</f>
        <v>18.98</v>
      </c>
      <c r="S47" s="12">
        <v>3.1</v>
      </c>
      <c r="T47" s="38">
        <f t="shared" ref="T47" si="146">N47</f>
        <v>3</v>
      </c>
      <c r="U47" s="39">
        <v>1.43</v>
      </c>
      <c r="V47" s="38">
        <f t="shared" ref="V47" si="147">P47</f>
        <v>0</v>
      </c>
      <c r="W47" s="109">
        <f>-(((T47*S47)-T47)*0.06)</f>
        <v>-0.378</v>
      </c>
      <c r="X47" s="109">
        <f t="shared" ref="X47" si="148">ROUND(IF(OR($L47="1st",$L47="WON"),($S47*$T47)+($U47*$V47),IF(OR($L47="2nd",$L47="3rd"),IF($U47="NTD",0,($U47*$V47))))-($T47+$V47),2)+W47</f>
        <v>5.9219999999999997</v>
      </c>
      <c r="Y47" s="116">
        <f t="shared" ref="Y47" si="149">X47+Y46</f>
        <v>19.614599999999996</v>
      </c>
      <c r="Z47" s="121" t="s">
        <v>11</v>
      </c>
      <c r="AA47" s="119" t="s">
        <v>344</v>
      </c>
      <c r="AB47" s="113"/>
    </row>
    <row r="48" spans="1:28" x14ac:dyDescent="0.2">
      <c r="A48" s="111"/>
      <c r="B48" s="115">
        <f t="shared" si="124"/>
        <v>43</v>
      </c>
      <c r="C48" s="36" t="s">
        <v>300</v>
      </c>
      <c r="D48" s="36" t="s">
        <v>228</v>
      </c>
      <c r="E48" s="86">
        <v>44153</v>
      </c>
      <c r="F48" s="74" t="s">
        <v>43</v>
      </c>
      <c r="G48" s="70" t="s">
        <v>39</v>
      </c>
      <c r="H48" s="70" t="s">
        <v>70</v>
      </c>
      <c r="I48" s="70">
        <v>1200</v>
      </c>
      <c r="J48" s="70" t="s">
        <v>224</v>
      </c>
      <c r="K48" s="70" t="s">
        <v>118</v>
      </c>
      <c r="L48" s="47" t="s">
        <v>69</v>
      </c>
      <c r="M48" s="12">
        <v>3.8</v>
      </c>
      <c r="N48" s="38">
        <v>3</v>
      </c>
      <c r="O48" s="39">
        <v>0</v>
      </c>
      <c r="P48" s="38">
        <v>0</v>
      </c>
      <c r="Q48" s="107">
        <f t="shared" si="1"/>
        <v>-3</v>
      </c>
      <c r="R48" s="105">
        <f t="shared" ref="R48" si="150">Q48+R47</f>
        <v>15.98</v>
      </c>
      <c r="S48" s="12">
        <v>4.01</v>
      </c>
      <c r="T48" s="38">
        <f t="shared" ref="T48" si="151">N48</f>
        <v>3</v>
      </c>
      <c r="U48" s="39">
        <v>1.71</v>
      </c>
      <c r="V48" s="38">
        <f t="shared" ref="V48" si="152">P48</f>
        <v>0</v>
      </c>
      <c r="W48" s="109">
        <v>0</v>
      </c>
      <c r="X48" s="109">
        <f t="shared" ref="X48" si="153">ROUND(IF(OR($L48="1st",$L48="WON"),($S48*$T48)+($U48*$V48),IF(OR($L48="2nd",$L48="3rd"),IF($U48="NTD",0,($U48*$V48))))-($T48+$V48),2)+W48</f>
        <v>-3</v>
      </c>
      <c r="Y48" s="116">
        <f t="shared" ref="Y48" si="154">X48+Y47</f>
        <v>16.614599999999996</v>
      </c>
      <c r="Z48" s="121"/>
      <c r="AA48" s="119"/>
      <c r="AB48" s="113"/>
    </row>
    <row r="49" spans="1:28" x14ac:dyDescent="0.2">
      <c r="A49" s="111"/>
      <c r="B49" s="115">
        <f t="shared" si="124"/>
        <v>44</v>
      </c>
      <c r="C49" s="36" t="s">
        <v>244</v>
      </c>
      <c r="D49" s="36" t="s">
        <v>228</v>
      </c>
      <c r="E49" s="86">
        <v>44153</v>
      </c>
      <c r="F49" s="74" t="s">
        <v>43</v>
      </c>
      <c r="G49" s="70" t="s">
        <v>39</v>
      </c>
      <c r="H49" s="70" t="s">
        <v>70</v>
      </c>
      <c r="I49" s="70">
        <v>1200</v>
      </c>
      <c r="J49" s="70" t="s">
        <v>224</v>
      </c>
      <c r="K49" s="70" t="s">
        <v>118</v>
      </c>
      <c r="L49" s="47" t="s">
        <v>12</v>
      </c>
      <c r="M49" s="12">
        <v>3</v>
      </c>
      <c r="N49" s="38">
        <v>1.5</v>
      </c>
      <c r="O49" s="39">
        <v>0</v>
      </c>
      <c r="P49" s="38">
        <v>0</v>
      </c>
      <c r="Q49" s="107">
        <f t="shared" si="1"/>
        <v>3</v>
      </c>
      <c r="R49" s="105">
        <f t="shared" ref="R49" si="155">Q49+R48</f>
        <v>18.98</v>
      </c>
      <c r="S49" s="12">
        <v>3.1</v>
      </c>
      <c r="T49" s="38">
        <f t="shared" ref="T49" si="156">N49</f>
        <v>1.5</v>
      </c>
      <c r="U49" s="39">
        <v>1.35</v>
      </c>
      <c r="V49" s="38">
        <f t="shared" ref="V49" si="157">P49</f>
        <v>0</v>
      </c>
      <c r="W49" s="109">
        <f>-(((T49*S49)-T49)*0.06)</f>
        <v>-0.189</v>
      </c>
      <c r="X49" s="109">
        <f t="shared" ref="X49" si="158">ROUND(IF(OR($L49="1st",$L49="WON"),($S49*$T49)+($U49*$V49),IF(OR($L49="2nd",$L49="3rd"),IF($U49="NTD",0,($U49*$V49))))-($T49+$V49),2)+W49</f>
        <v>2.9609999999999999</v>
      </c>
      <c r="Y49" s="116">
        <f t="shared" ref="Y49" si="159">X49+Y48</f>
        <v>19.575599999999994</v>
      </c>
      <c r="Z49" s="121"/>
      <c r="AA49" s="119"/>
      <c r="AB49" s="113"/>
    </row>
    <row r="50" spans="1:28" x14ac:dyDescent="0.2">
      <c r="A50" s="111"/>
      <c r="B50" s="115">
        <f t="shared" si="124"/>
        <v>45</v>
      </c>
      <c r="C50" s="36" t="s">
        <v>81</v>
      </c>
      <c r="D50" s="36" t="s">
        <v>228</v>
      </c>
      <c r="E50" s="86">
        <v>44155</v>
      </c>
      <c r="F50" s="74" t="s">
        <v>79</v>
      </c>
      <c r="G50" s="70" t="s">
        <v>50</v>
      </c>
      <c r="H50" s="70" t="s">
        <v>73</v>
      </c>
      <c r="I50" s="70">
        <v>1400</v>
      </c>
      <c r="J50" s="70" t="s">
        <v>224</v>
      </c>
      <c r="K50" s="70" t="s">
        <v>118</v>
      </c>
      <c r="L50" s="47" t="s">
        <v>61</v>
      </c>
      <c r="M50" s="12">
        <v>5</v>
      </c>
      <c r="N50" s="38">
        <v>1.5</v>
      </c>
      <c r="O50" s="39">
        <v>2.1</v>
      </c>
      <c r="P50" s="38">
        <v>1.5</v>
      </c>
      <c r="Q50" s="107">
        <f t="shared" si="1"/>
        <v>-3</v>
      </c>
      <c r="R50" s="105">
        <f t="shared" ref="R50" si="160">Q50+R49</f>
        <v>15.98</v>
      </c>
      <c r="S50" s="12">
        <v>5.16</v>
      </c>
      <c r="T50" s="38">
        <f t="shared" ref="T50" si="161">N50</f>
        <v>1.5</v>
      </c>
      <c r="U50" s="39">
        <v>2.21</v>
      </c>
      <c r="V50" s="38">
        <f t="shared" ref="V50" si="162">P50</f>
        <v>1.5</v>
      </c>
      <c r="W50" s="109">
        <v>0</v>
      </c>
      <c r="X50" s="109">
        <f t="shared" ref="X50" si="163">ROUND(IF(OR($L50="1st",$L50="WON"),($S50*$T50)+($U50*$V50),IF(OR($L50="2nd",$L50="3rd"),IF($U50="NTD",0,($U50*$V50))))-($T50+$V50),2)+W50</f>
        <v>-3</v>
      </c>
      <c r="Y50" s="116">
        <f t="shared" ref="Y50" si="164">X50+Y49</f>
        <v>16.575599999999994</v>
      </c>
      <c r="Z50" s="121"/>
      <c r="AA50" s="119"/>
      <c r="AB50" s="113"/>
    </row>
    <row r="51" spans="1:28" x14ac:dyDescent="0.2">
      <c r="A51" s="111"/>
      <c r="B51" s="115">
        <f t="shared" si="124"/>
        <v>46</v>
      </c>
      <c r="C51" s="36" t="s">
        <v>306</v>
      </c>
      <c r="D51" s="36" t="s">
        <v>228</v>
      </c>
      <c r="E51" s="86">
        <v>44156</v>
      </c>
      <c r="F51" s="74" t="s">
        <v>82</v>
      </c>
      <c r="G51" s="70" t="s">
        <v>39</v>
      </c>
      <c r="H51" s="70" t="s">
        <v>70</v>
      </c>
      <c r="I51" s="70">
        <v>1100</v>
      </c>
      <c r="J51" s="70" t="s">
        <v>245</v>
      </c>
      <c r="K51" s="70" t="s">
        <v>118</v>
      </c>
      <c r="L51" s="47" t="s">
        <v>76</v>
      </c>
      <c r="M51" s="12">
        <v>2.5</v>
      </c>
      <c r="N51" s="38">
        <v>4</v>
      </c>
      <c r="O51" s="39">
        <v>0</v>
      </c>
      <c r="P51" s="38">
        <v>0</v>
      </c>
      <c r="Q51" s="107">
        <f t="shared" si="1"/>
        <v>-4</v>
      </c>
      <c r="R51" s="105">
        <f t="shared" ref="R51" si="165">Q51+R50</f>
        <v>11.98</v>
      </c>
      <c r="S51" s="12">
        <v>3.16</v>
      </c>
      <c r="T51" s="38">
        <f t="shared" ref="T51" si="166">N51</f>
        <v>4</v>
      </c>
      <c r="U51" s="39">
        <v>1.6</v>
      </c>
      <c r="V51" s="38">
        <f t="shared" ref="V51" si="167">P51</f>
        <v>0</v>
      </c>
      <c r="W51" s="109">
        <v>0</v>
      </c>
      <c r="X51" s="109">
        <f t="shared" ref="X51" si="168">ROUND(IF(OR($L51="1st",$L51="WON"),($S51*$T51)+($U51*$V51),IF(OR($L51="2nd",$L51="3rd"),IF($U51="NTD",0,($U51*$V51))))-($T51+$V51),2)+W51</f>
        <v>-4</v>
      </c>
      <c r="Y51" s="116">
        <f t="shared" ref="Y51" si="169">X51+Y50</f>
        <v>12.575599999999994</v>
      </c>
      <c r="Z51" s="121"/>
      <c r="AA51" s="119"/>
      <c r="AB51" s="113"/>
    </row>
    <row r="52" spans="1:28" outlineLevel="1" x14ac:dyDescent="0.2">
      <c r="A52" s="111"/>
      <c r="B52" s="115">
        <f t="shared" si="124"/>
        <v>47</v>
      </c>
      <c r="C52" s="36" t="s">
        <v>307</v>
      </c>
      <c r="D52" s="36" t="s">
        <v>77</v>
      </c>
      <c r="E52" s="86">
        <v>44156</v>
      </c>
      <c r="F52" s="74" t="s">
        <v>35</v>
      </c>
      <c r="G52" s="70" t="s">
        <v>28</v>
      </c>
      <c r="H52" s="70" t="s">
        <v>74</v>
      </c>
      <c r="I52" s="70">
        <v>1100</v>
      </c>
      <c r="J52" s="70" t="s">
        <v>224</v>
      </c>
      <c r="K52" s="70" t="s">
        <v>118</v>
      </c>
      <c r="L52" s="47" t="s">
        <v>111</v>
      </c>
      <c r="M52" s="12">
        <v>7</v>
      </c>
      <c r="N52" s="38">
        <v>2</v>
      </c>
      <c r="O52" s="39">
        <v>0</v>
      </c>
      <c r="P52" s="38">
        <v>0</v>
      </c>
      <c r="Q52" s="107">
        <f t="shared" si="1"/>
        <v>-2</v>
      </c>
      <c r="R52" s="105">
        <f t="shared" ref="R52" si="170">Q52+R51</f>
        <v>9.98</v>
      </c>
      <c r="S52" s="12">
        <v>8.11</v>
      </c>
      <c r="T52" s="38">
        <f t="shared" ref="T52" si="171">N52</f>
        <v>2</v>
      </c>
      <c r="U52" s="39">
        <v>2.19</v>
      </c>
      <c r="V52" s="38">
        <f t="shared" ref="V52" si="172">P52</f>
        <v>0</v>
      </c>
      <c r="W52" s="109">
        <v>0</v>
      </c>
      <c r="X52" s="109">
        <f t="shared" ref="X52" si="173">ROUND(IF(OR($L52="1st",$L52="WON"),($S52*$T52)+($U52*$V52),IF(OR($L52="2nd",$L52="3rd"),IF($U52="NTD",0,($U52*$V52))))-($T52+$V52),2)+W52</f>
        <v>-2</v>
      </c>
      <c r="Y52" s="116">
        <f t="shared" ref="Y52" si="174">X52+Y51</f>
        <v>10.575599999999994</v>
      </c>
      <c r="Z52" s="121"/>
      <c r="AA52" s="119"/>
      <c r="AB52" s="113"/>
    </row>
    <row r="53" spans="1:28" outlineLevel="1" x14ac:dyDescent="0.2">
      <c r="A53" s="111"/>
      <c r="B53" s="115">
        <f t="shared" si="124"/>
        <v>48</v>
      </c>
      <c r="C53" s="36" t="s">
        <v>225</v>
      </c>
      <c r="D53" s="36" t="s">
        <v>77</v>
      </c>
      <c r="E53" s="86">
        <v>44156</v>
      </c>
      <c r="F53" s="74" t="s">
        <v>35</v>
      </c>
      <c r="G53" s="70" t="s">
        <v>37</v>
      </c>
      <c r="H53" s="70" t="s">
        <v>295</v>
      </c>
      <c r="I53" s="70">
        <v>1000</v>
      </c>
      <c r="J53" s="70" t="s">
        <v>224</v>
      </c>
      <c r="K53" s="70" t="s">
        <v>118</v>
      </c>
      <c r="L53" s="47" t="s">
        <v>15</v>
      </c>
      <c r="M53" s="12">
        <v>8.5</v>
      </c>
      <c r="N53" s="38">
        <v>2</v>
      </c>
      <c r="O53" s="39">
        <v>0</v>
      </c>
      <c r="P53" s="38">
        <v>0</v>
      </c>
      <c r="Q53" s="107">
        <f t="shared" si="1"/>
        <v>-2</v>
      </c>
      <c r="R53" s="105">
        <f t="shared" ref="R53" si="175">Q53+R52</f>
        <v>7.98</v>
      </c>
      <c r="S53" s="12">
        <v>9.6</v>
      </c>
      <c r="T53" s="38">
        <f t="shared" ref="T53" si="176">N53</f>
        <v>2</v>
      </c>
      <c r="U53" s="39">
        <v>2.97</v>
      </c>
      <c r="V53" s="38">
        <f t="shared" ref="V53" si="177">P53</f>
        <v>0</v>
      </c>
      <c r="W53" s="109">
        <v>0</v>
      </c>
      <c r="X53" s="109">
        <f t="shared" ref="X53" si="178">ROUND(IF(OR($L53="1st",$L53="WON"),($S53*$T53)+($U53*$V53),IF(OR($L53="2nd",$L53="3rd"),IF($U53="NTD",0,($U53*$V53))))-($T53+$V53),2)+W53</f>
        <v>-2</v>
      </c>
      <c r="Y53" s="116">
        <f t="shared" ref="Y53" si="179">X53+Y52</f>
        <v>8.5755999999999943</v>
      </c>
      <c r="Z53" s="121"/>
      <c r="AA53" s="119"/>
      <c r="AB53" s="113"/>
    </row>
    <row r="54" spans="1:28" outlineLevel="1" x14ac:dyDescent="0.2">
      <c r="A54" s="111"/>
      <c r="B54" s="115">
        <f t="shared" si="124"/>
        <v>49</v>
      </c>
      <c r="C54" s="36" t="s">
        <v>308</v>
      </c>
      <c r="D54" s="36" t="s">
        <v>77</v>
      </c>
      <c r="E54" s="86">
        <v>44156</v>
      </c>
      <c r="F54" s="74" t="s">
        <v>35</v>
      </c>
      <c r="G54" s="70" t="s">
        <v>16</v>
      </c>
      <c r="H54" s="70" t="s">
        <v>75</v>
      </c>
      <c r="I54" s="70">
        <v>1600</v>
      </c>
      <c r="J54" s="70" t="s">
        <v>224</v>
      </c>
      <c r="K54" s="70" t="s">
        <v>118</v>
      </c>
      <c r="L54" s="47" t="s">
        <v>86</v>
      </c>
      <c r="M54" s="12">
        <v>2.2000000000000002</v>
      </c>
      <c r="N54" s="38">
        <v>5</v>
      </c>
      <c r="O54" s="39">
        <v>0</v>
      </c>
      <c r="P54" s="38">
        <v>0</v>
      </c>
      <c r="Q54" s="107">
        <f t="shared" si="1"/>
        <v>-5</v>
      </c>
      <c r="R54" s="105">
        <f t="shared" ref="R54" si="180">Q54+R53</f>
        <v>2.9800000000000004</v>
      </c>
      <c r="S54" s="12">
        <v>2.4</v>
      </c>
      <c r="T54" s="38">
        <f t="shared" ref="T54" si="181">N54</f>
        <v>5</v>
      </c>
      <c r="U54" s="39">
        <v>1.46</v>
      </c>
      <c r="V54" s="38">
        <f t="shared" ref="V54" si="182">P54</f>
        <v>0</v>
      </c>
      <c r="W54" s="109">
        <v>0</v>
      </c>
      <c r="X54" s="109">
        <f t="shared" ref="X54" si="183">ROUND(IF(OR($L54="1st",$L54="WON"),($S54*$T54)+($U54*$V54),IF(OR($L54="2nd",$L54="3rd"),IF($U54="NTD",0,($U54*$V54))))-($T54+$V54),2)+W54</f>
        <v>-5</v>
      </c>
      <c r="Y54" s="116">
        <f t="shared" ref="Y54" si="184">X54+Y53</f>
        <v>3.5755999999999943</v>
      </c>
      <c r="Z54" s="121"/>
      <c r="AA54" s="119"/>
      <c r="AB54" s="113"/>
    </row>
    <row r="55" spans="1:28" outlineLevel="1" x14ac:dyDescent="0.2">
      <c r="A55" s="111"/>
      <c r="B55" s="115">
        <f t="shared" si="124"/>
        <v>50</v>
      </c>
      <c r="C55" s="36" t="s">
        <v>309</v>
      </c>
      <c r="D55" s="36" t="s">
        <v>77</v>
      </c>
      <c r="E55" s="86">
        <v>44156</v>
      </c>
      <c r="F55" s="74" t="s">
        <v>35</v>
      </c>
      <c r="G55" s="70" t="s">
        <v>48</v>
      </c>
      <c r="H55" s="70" t="s">
        <v>192</v>
      </c>
      <c r="I55" s="70">
        <v>1400</v>
      </c>
      <c r="J55" s="70" t="s">
        <v>224</v>
      </c>
      <c r="K55" s="70" t="s">
        <v>118</v>
      </c>
      <c r="L55" s="47" t="s">
        <v>61</v>
      </c>
      <c r="M55" s="12">
        <v>4.2</v>
      </c>
      <c r="N55" s="38">
        <v>3</v>
      </c>
      <c r="O55" s="39">
        <v>0</v>
      </c>
      <c r="P55" s="38">
        <v>0</v>
      </c>
      <c r="Q55" s="107">
        <f t="shared" si="1"/>
        <v>-3</v>
      </c>
      <c r="R55" s="105">
        <f t="shared" ref="R55" si="185">Q55+R54</f>
        <v>-1.9999999999999574E-2</v>
      </c>
      <c r="S55" s="12">
        <v>4.01</v>
      </c>
      <c r="T55" s="38">
        <f t="shared" ref="T55" si="186">N55</f>
        <v>3</v>
      </c>
      <c r="U55" s="39">
        <v>1.98</v>
      </c>
      <c r="V55" s="38">
        <f t="shared" ref="V55" si="187">P55</f>
        <v>0</v>
      </c>
      <c r="W55" s="109">
        <v>0</v>
      </c>
      <c r="X55" s="109">
        <f t="shared" ref="X55" si="188">ROUND(IF(OR($L55="1st",$L55="WON"),($S55*$T55)+($U55*$V55),IF(OR($L55="2nd",$L55="3rd"),IF($U55="NTD",0,($U55*$V55))))-($T55+$V55),2)+W55</f>
        <v>-3</v>
      </c>
      <c r="Y55" s="116">
        <f t="shared" ref="Y55" si="189">X55+Y54</f>
        <v>0.57559999999999434</v>
      </c>
      <c r="Z55" s="121"/>
      <c r="AA55" s="119"/>
      <c r="AB55" s="113"/>
    </row>
    <row r="56" spans="1:28" outlineLevel="1" x14ac:dyDescent="0.2">
      <c r="A56" s="111"/>
      <c r="B56" s="115">
        <f t="shared" si="124"/>
        <v>51</v>
      </c>
      <c r="C56" s="36" t="s">
        <v>310</v>
      </c>
      <c r="D56" s="36" t="s">
        <v>77</v>
      </c>
      <c r="E56" s="86">
        <v>44156</v>
      </c>
      <c r="F56" s="74" t="s">
        <v>286</v>
      </c>
      <c r="G56" s="70" t="s">
        <v>45</v>
      </c>
      <c r="H56" s="70" t="s">
        <v>75</v>
      </c>
      <c r="I56" s="70">
        <v>1200</v>
      </c>
      <c r="J56" s="70" t="s">
        <v>224</v>
      </c>
      <c r="K56" s="70" t="s">
        <v>179</v>
      </c>
      <c r="L56" s="47" t="s">
        <v>76</v>
      </c>
      <c r="M56" s="12">
        <v>2.5</v>
      </c>
      <c r="N56" s="38">
        <v>5</v>
      </c>
      <c r="O56" s="39">
        <v>0</v>
      </c>
      <c r="P56" s="38">
        <v>0</v>
      </c>
      <c r="Q56" s="107">
        <f t="shared" si="1"/>
        <v>-5</v>
      </c>
      <c r="R56" s="105">
        <f t="shared" ref="R56" si="190">Q56+R55</f>
        <v>-5.0199999999999996</v>
      </c>
      <c r="S56" s="12">
        <v>2</v>
      </c>
      <c r="T56" s="38">
        <f t="shared" ref="T56" si="191">N56</f>
        <v>5</v>
      </c>
      <c r="U56" s="39">
        <v>1.25</v>
      </c>
      <c r="V56" s="38">
        <f t="shared" ref="V56" si="192">P56</f>
        <v>0</v>
      </c>
      <c r="W56" s="109">
        <v>0</v>
      </c>
      <c r="X56" s="109">
        <f t="shared" ref="X56" si="193">ROUND(IF(OR($L56="1st",$L56="WON"),($S56*$T56)+($U56*$V56),IF(OR($L56="2nd",$L56="3rd"),IF($U56="NTD",0,($U56*$V56))))-($T56+$V56),2)+W56</f>
        <v>-5</v>
      </c>
      <c r="Y56" s="116">
        <f t="shared" ref="Y56" si="194">X56+Y55</f>
        <v>-4.4244000000000057</v>
      </c>
      <c r="Z56" s="121"/>
      <c r="AA56" s="119"/>
      <c r="AB56" s="113"/>
    </row>
    <row r="57" spans="1:28" outlineLevel="1" x14ac:dyDescent="0.2">
      <c r="A57" s="111"/>
      <c r="B57" s="115">
        <f t="shared" si="124"/>
        <v>52</v>
      </c>
      <c r="C57" s="36" t="s">
        <v>311</v>
      </c>
      <c r="D57" s="36" t="s">
        <v>77</v>
      </c>
      <c r="E57" s="86">
        <v>44156</v>
      </c>
      <c r="F57" s="74" t="s">
        <v>286</v>
      </c>
      <c r="G57" s="70" t="s">
        <v>50</v>
      </c>
      <c r="H57" s="70" t="s">
        <v>75</v>
      </c>
      <c r="I57" s="70">
        <v>1200</v>
      </c>
      <c r="J57" s="70" t="s">
        <v>224</v>
      </c>
      <c r="K57" s="70" t="s">
        <v>179</v>
      </c>
      <c r="L57" s="47" t="s">
        <v>68</v>
      </c>
      <c r="M57" s="12">
        <v>12</v>
      </c>
      <c r="N57" s="38">
        <v>1</v>
      </c>
      <c r="O57" s="39">
        <v>0</v>
      </c>
      <c r="P57" s="38">
        <v>0</v>
      </c>
      <c r="Q57" s="107">
        <f t="shared" si="1"/>
        <v>-1</v>
      </c>
      <c r="R57" s="105">
        <f t="shared" ref="R57" si="195">Q57+R56</f>
        <v>-6.02</v>
      </c>
      <c r="S57" s="12">
        <v>18.5</v>
      </c>
      <c r="T57" s="38">
        <f t="shared" ref="T57" si="196">N57</f>
        <v>1</v>
      </c>
      <c r="U57" s="39">
        <v>4.28</v>
      </c>
      <c r="V57" s="38">
        <f t="shared" ref="V57" si="197">P57</f>
        <v>0</v>
      </c>
      <c r="W57" s="109">
        <v>0</v>
      </c>
      <c r="X57" s="109">
        <f t="shared" ref="X57" si="198">ROUND(IF(OR($L57="1st",$L57="WON"),($S57*$T57)+($U57*$V57),IF(OR($L57="2nd",$L57="3rd"),IF($U57="NTD",0,($U57*$V57))))-($T57+$V57),2)+W57</f>
        <v>-1</v>
      </c>
      <c r="Y57" s="116">
        <f t="shared" ref="Y57" si="199">X57+Y56</f>
        <v>-5.4244000000000057</v>
      </c>
      <c r="Z57" s="121"/>
      <c r="AA57" s="119"/>
      <c r="AB57" s="113"/>
    </row>
    <row r="58" spans="1:28" x14ac:dyDescent="0.2">
      <c r="A58" s="111"/>
      <c r="B58" s="115">
        <f t="shared" si="124"/>
        <v>53</v>
      </c>
      <c r="C58" s="36" t="s">
        <v>304</v>
      </c>
      <c r="D58" s="36" t="s">
        <v>228</v>
      </c>
      <c r="E58" s="86">
        <v>44157</v>
      </c>
      <c r="F58" s="74" t="s">
        <v>88</v>
      </c>
      <c r="G58" s="70" t="s">
        <v>28</v>
      </c>
      <c r="H58" s="70" t="s">
        <v>70</v>
      </c>
      <c r="I58" s="70">
        <v>1100</v>
      </c>
      <c r="J58" s="70" t="s">
        <v>224</v>
      </c>
      <c r="K58" s="70" t="s">
        <v>118</v>
      </c>
      <c r="L58" s="47" t="s">
        <v>15</v>
      </c>
      <c r="M58" s="12">
        <v>5.5</v>
      </c>
      <c r="N58" s="38">
        <v>1.5</v>
      </c>
      <c r="O58" s="39">
        <v>2</v>
      </c>
      <c r="P58" s="38">
        <v>1.5</v>
      </c>
      <c r="Q58" s="107">
        <f t="shared" si="1"/>
        <v>0</v>
      </c>
      <c r="R58" s="105">
        <f t="shared" ref="R58" si="200">Q58+R57</f>
        <v>-6.02</v>
      </c>
      <c r="S58" s="12">
        <v>6.55</v>
      </c>
      <c r="T58" s="38">
        <f t="shared" ref="T58" si="201">N58</f>
        <v>1.5</v>
      </c>
      <c r="U58" s="39">
        <v>1.99</v>
      </c>
      <c r="V58" s="38">
        <f t="shared" ref="V58" si="202">P58</f>
        <v>1.5</v>
      </c>
      <c r="W58" s="109">
        <f>-(((V58*U58)-V58)*0.06)</f>
        <v>-8.9099999999999985E-2</v>
      </c>
      <c r="X58" s="109">
        <f t="shared" ref="X58" si="203">ROUND(IF(OR($L58="1st",$L58="WON"),($S58*$T58)+($U58*$V58),IF(OR($L58="2nd",$L58="3rd"),IF($U58="NTD",0,($U58*$V58))))-($T58+$V58),2)+W58</f>
        <v>-0.10909999999999999</v>
      </c>
      <c r="Y58" s="116">
        <f t="shared" ref="Y58" si="204">X58+Y57</f>
        <v>-5.5335000000000054</v>
      </c>
      <c r="Z58" s="121"/>
      <c r="AA58" s="119"/>
      <c r="AB58" s="113"/>
    </row>
    <row r="59" spans="1:28" x14ac:dyDescent="0.2">
      <c r="A59" s="111"/>
      <c r="B59" s="115">
        <f t="shared" si="124"/>
        <v>54</v>
      </c>
      <c r="C59" s="36" t="s">
        <v>319</v>
      </c>
      <c r="D59" s="36" t="s">
        <v>228</v>
      </c>
      <c r="E59" s="86">
        <v>44161</v>
      </c>
      <c r="F59" s="74" t="s">
        <v>49</v>
      </c>
      <c r="G59" s="70" t="s">
        <v>28</v>
      </c>
      <c r="H59" s="70" t="s">
        <v>70</v>
      </c>
      <c r="I59" s="70">
        <v>1200</v>
      </c>
      <c r="J59" s="70" t="s">
        <v>224</v>
      </c>
      <c r="K59" s="70" t="s">
        <v>118</v>
      </c>
      <c r="L59" s="47" t="s">
        <v>61</v>
      </c>
      <c r="M59" s="12">
        <v>9.5</v>
      </c>
      <c r="N59" s="65">
        <v>0.75</v>
      </c>
      <c r="O59" s="39">
        <v>2.5</v>
      </c>
      <c r="P59" s="38">
        <v>0.5</v>
      </c>
      <c r="Q59" s="107">
        <f t="shared" si="1"/>
        <v>-1.25</v>
      </c>
      <c r="R59" s="105">
        <f t="shared" ref="R59" si="205">Q59+R58</f>
        <v>-7.27</v>
      </c>
      <c r="S59" s="12">
        <v>7.2</v>
      </c>
      <c r="T59" s="65">
        <f t="shared" ref="T59" si="206">N59</f>
        <v>0.75</v>
      </c>
      <c r="U59" s="39">
        <v>2.12</v>
      </c>
      <c r="V59" s="38">
        <f t="shared" ref="V59" si="207">P59</f>
        <v>0.5</v>
      </c>
      <c r="W59" s="109">
        <v>0</v>
      </c>
      <c r="X59" s="109">
        <f t="shared" ref="X59" si="208">ROUND(IF(OR($L59="1st",$L59="WON"),($S59*$T59)+($U59*$V59),IF(OR($L59="2nd",$L59="3rd"),IF($U59="NTD",0,($U59*$V59))))-($T59+$V59),2)+W59</f>
        <v>-1.25</v>
      </c>
      <c r="Y59" s="116">
        <f t="shared" ref="Y59" si="209">X59+Y58</f>
        <v>-6.7835000000000054</v>
      </c>
      <c r="Z59" s="121"/>
      <c r="AA59" s="119"/>
      <c r="AB59" s="113"/>
    </row>
    <row r="60" spans="1:28" outlineLevel="1" x14ac:dyDescent="0.2">
      <c r="A60" s="111"/>
      <c r="B60" s="115">
        <f t="shared" si="124"/>
        <v>55</v>
      </c>
      <c r="C60" s="36" t="s">
        <v>325</v>
      </c>
      <c r="D60" s="36" t="s">
        <v>77</v>
      </c>
      <c r="E60" s="86">
        <v>44163</v>
      </c>
      <c r="F60" s="74" t="s">
        <v>30</v>
      </c>
      <c r="G60" s="70" t="s">
        <v>28</v>
      </c>
      <c r="H60" s="70" t="s">
        <v>74</v>
      </c>
      <c r="I60" s="70">
        <v>1600</v>
      </c>
      <c r="J60" s="70" t="s">
        <v>224</v>
      </c>
      <c r="K60" s="70" t="s">
        <v>118</v>
      </c>
      <c r="L60" s="47" t="s">
        <v>66</v>
      </c>
      <c r="M60" s="12">
        <v>9.5</v>
      </c>
      <c r="N60" s="38">
        <v>1</v>
      </c>
      <c r="O60" s="39">
        <v>0</v>
      </c>
      <c r="P60" s="38">
        <v>0</v>
      </c>
      <c r="Q60" s="107">
        <f t="shared" si="1"/>
        <v>-1</v>
      </c>
      <c r="R60" s="105">
        <f t="shared" ref="R60" si="210">Q60+R59</f>
        <v>-8.27</v>
      </c>
      <c r="S60" s="12">
        <v>14.41</v>
      </c>
      <c r="T60" s="38">
        <f t="shared" ref="T60" si="211">N60</f>
        <v>1</v>
      </c>
      <c r="U60" s="39">
        <v>3.4</v>
      </c>
      <c r="V60" s="38">
        <f t="shared" ref="V60" si="212">P60</f>
        <v>0</v>
      </c>
      <c r="W60" s="109">
        <v>0</v>
      </c>
      <c r="X60" s="109">
        <f t="shared" ref="X60" si="213">ROUND(IF(OR($L60="1st",$L60="WON"),($S60*$T60)+($U60*$V60),IF(OR($L60="2nd",$L60="3rd"),IF($U60="NTD",0,($U60*$V60))))-($T60+$V60),2)+W60</f>
        <v>-1</v>
      </c>
      <c r="Y60" s="116">
        <f t="shared" ref="Y60" si="214">X60+Y59</f>
        <v>-7.7835000000000054</v>
      </c>
      <c r="Z60" s="121"/>
      <c r="AA60" s="119"/>
      <c r="AB60" s="113"/>
    </row>
    <row r="61" spans="1:28" outlineLevel="1" x14ac:dyDescent="0.2">
      <c r="A61" s="111"/>
      <c r="B61" s="115">
        <f t="shared" si="124"/>
        <v>56</v>
      </c>
      <c r="C61" s="36" t="s">
        <v>326</v>
      </c>
      <c r="D61" s="36" t="s">
        <v>77</v>
      </c>
      <c r="E61" s="86">
        <v>44163</v>
      </c>
      <c r="F61" s="74" t="s">
        <v>30</v>
      </c>
      <c r="G61" s="70" t="s">
        <v>37</v>
      </c>
      <c r="H61" s="70" t="s">
        <v>75</v>
      </c>
      <c r="I61" s="70">
        <v>1600</v>
      </c>
      <c r="J61" s="70" t="s">
        <v>224</v>
      </c>
      <c r="K61" s="70" t="s">
        <v>118</v>
      </c>
      <c r="L61" s="47" t="s">
        <v>111</v>
      </c>
      <c r="M61" s="12">
        <v>8.5</v>
      </c>
      <c r="N61" s="38">
        <v>1.5</v>
      </c>
      <c r="O61" s="39">
        <v>0</v>
      </c>
      <c r="P61" s="38">
        <v>0</v>
      </c>
      <c r="Q61" s="107">
        <f t="shared" si="1"/>
        <v>-1.5</v>
      </c>
      <c r="R61" s="105">
        <f t="shared" ref="R61" si="215">Q61+R60</f>
        <v>-9.77</v>
      </c>
      <c r="S61" s="12">
        <v>17.87</v>
      </c>
      <c r="T61" s="38">
        <f t="shared" ref="T61" si="216">N61</f>
        <v>1.5</v>
      </c>
      <c r="U61" s="39">
        <v>3.75</v>
      </c>
      <c r="V61" s="38">
        <f t="shared" ref="V61" si="217">P61</f>
        <v>0</v>
      </c>
      <c r="W61" s="109">
        <v>0</v>
      </c>
      <c r="X61" s="109">
        <f t="shared" ref="X61" si="218">ROUND(IF(OR($L61="1st",$L61="WON"),($S61*$T61)+($U61*$V61),IF(OR($L61="2nd",$L61="3rd"),IF($U61="NTD",0,($U61*$V61))))-($T61+$V61),2)+W61</f>
        <v>-1.5</v>
      </c>
      <c r="Y61" s="116">
        <f t="shared" ref="Y61" si="219">X61+Y60</f>
        <v>-9.2835000000000054</v>
      </c>
      <c r="Z61" s="121"/>
      <c r="AA61" s="119"/>
      <c r="AB61" s="113"/>
    </row>
    <row r="62" spans="1:28" outlineLevel="1" x14ac:dyDescent="0.2">
      <c r="A62" s="111"/>
      <c r="B62" s="115">
        <f t="shared" si="124"/>
        <v>57</v>
      </c>
      <c r="C62" s="36" t="s">
        <v>327</v>
      </c>
      <c r="D62" s="36" t="s">
        <v>77</v>
      </c>
      <c r="E62" s="86">
        <v>44163</v>
      </c>
      <c r="F62" s="74" t="s">
        <v>30</v>
      </c>
      <c r="G62" s="70" t="s">
        <v>37</v>
      </c>
      <c r="H62" s="70" t="s">
        <v>75</v>
      </c>
      <c r="I62" s="70">
        <v>1600</v>
      </c>
      <c r="J62" s="70" t="s">
        <v>224</v>
      </c>
      <c r="K62" s="70" t="s">
        <v>118</v>
      </c>
      <c r="L62" s="47" t="s">
        <v>61</v>
      </c>
      <c r="M62" s="12">
        <v>34</v>
      </c>
      <c r="N62" s="38">
        <v>0.5</v>
      </c>
      <c r="O62" s="39">
        <v>0</v>
      </c>
      <c r="P62" s="38">
        <v>0</v>
      </c>
      <c r="Q62" s="107">
        <f t="shared" si="1"/>
        <v>-0.5</v>
      </c>
      <c r="R62" s="105">
        <f t="shared" ref="R62" si="220">Q62+R61</f>
        <v>-10.27</v>
      </c>
      <c r="S62" s="12">
        <v>44</v>
      </c>
      <c r="T62" s="38">
        <f t="shared" ref="T62" si="221">N62</f>
        <v>0.5</v>
      </c>
      <c r="U62" s="39">
        <v>8.67</v>
      </c>
      <c r="V62" s="38">
        <f t="shared" ref="V62" si="222">P62</f>
        <v>0</v>
      </c>
      <c r="W62" s="109">
        <v>0</v>
      </c>
      <c r="X62" s="109">
        <f t="shared" ref="X62" si="223">ROUND(IF(OR($L62="1st",$L62="WON"),($S62*$T62)+($U62*$V62),IF(OR($L62="2nd",$L62="3rd"),IF($U62="NTD",0,($U62*$V62))))-($T62+$V62),2)+W62</f>
        <v>-0.5</v>
      </c>
      <c r="Y62" s="116">
        <f t="shared" ref="Y62" si="224">X62+Y61</f>
        <v>-9.7835000000000054</v>
      </c>
      <c r="Z62" s="121"/>
      <c r="AA62" s="119"/>
      <c r="AB62" s="113"/>
    </row>
    <row r="63" spans="1:28" outlineLevel="1" x14ac:dyDescent="0.2">
      <c r="A63" s="111"/>
      <c r="B63" s="115">
        <f t="shared" si="124"/>
        <v>58</v>
      </c>
      <c r="C63" s="36" t="s">
        <v>328</v>
      </c>
      <c r="D63" s="36" t="s">
        <v>77</v>
      </c>
      <c r="E63" s="86">
        <v>44163</v>
      </c>
      <c r="F63" s="74" t="s">
        <v>30</v>
      </c>
      <c r="G63" s="70" t="s">
        <v>45</v>
      </c>
      <c r="H63" s="70" t="s">
        <v>177</v>
      </c>
      <c r="I63" s="70">
        <v>1200</v>
      </c>
      <c r="J63" s="70" t="s">
        <v>224</v>
      </c>
      <c r="K63" s="70" t="s">
        <v>118</v>
      </c>
      <c r="L63" s="47" t="s">
        <v>15</v>
      </c>
      <c r="M63" s="12">
        <v>3</v>
      </c>
      <c r="N63" s="38">
        <v>5</v>
      </c>
      <c r="O63" s="39">
        <v>0</v>
      </c>
      <c r="P63" s="38">
        <v>0</v>
      </c>
      <c r="Q63" s="107">
        <f t="shared" si="1"/>
        <v>-5</v>
      </c>
      <c r="R63" s="105">
        <f t="shared" ref="R63:R64" si="225">Q63+R62</f>
        <v>-15.27</v>
      </c>
      <c r="S63" s="12">
        <v>4.3600000000000003</v>
      </c>
      <c r="T63" s="38">
        <f t="shared" ref="T63:T64" si="226">N63</f>
        <v>5</v>
      </c>
      <c r="U63" s="39">
        <v>1.58</v>
      </c>
      <c r="V63" s="38">
        <f t="shared" ref="V63:V64" si="227">P63</f>
        <v>0</v>
      </c>
      <c r="W63" s="109">
        <v>0</v>
      </c>
      <c r="X63" s="109">
        <f t="shared" ref="X63:X64" si="228">ROUND(IF(OR($L63="1st",$L63="WON"),($S63*$T63)+($U63*$V63),IF(OR($L63="2nd",$L63="3rd"),IF($U63="NTD",0,($U63*$V63))))-($T63+$V63),2)+W63</f>
        <v>-5</v>
      </c>
      <c r="Y63" s="116">
        <f t="shared" ref="Y63:Y64" si="229">X63+Y62</f>
        <v>-14.783500000000005</v>
      </c>
      <c r="Z63" s="121"/>
      <c r="AA63" s="119"/>
      <c r="AB63" s="113"/>
    </row>
    <row r="64" spans="1:28" outlineLevel="1" x14ac:dyDescent="0.2">
      <c r="A64" s="111"/>
      <c r="B64" s="115">
        <f t="shared" si="124"/>
        <v>59</v>
      </c>
      <c r="C64" s="36" t="s">
        <v>329</v>
      </c>
      <c r="D64" s="36" t="s">
        <v>77</v>
      </c>
      <c r="E64" s="86">
        <v>44163</v>
      </c>
      <c r="F64" s="74" t="s">
        <v>30</v>
      </c>
      <c r="G64" s="70" t="s">
        <v>50</v>
      </c>
      <c r="H64" s="70" t="s">
        <v>75</v>
      </c>
      <c r="I64" s="70">
        <v>1000</v>
      </c>
      <c r="J64" s="70" t="s">
        <v>224</v>
      </c>
      <c r="K64" s="70" t="s">
        <v>118</v>
      </c>
      <c r="L64" s="47" t="s">
        <v>12</v>
      </c>
      <c r="M64" s="12">
        <v>3.9</v>
      </c>
      <c r="N64" s="38">
        <v>3</v>
      </c>
      <c r="O64" s="39">
        <v>0</v>
      </c>
      <c r="P64" s="38">
        <v>0</v>
      </c>
      <c r="Q64" s="107">
        <f t="shared" si="1"/>
        <v>8.6999999999999993</v>
      </c>
      <c r="R64" s="105">
        <f t="shared" si="225"/>
        <v>-6.57</v>
      </c>
      <c r="S64" s="12">
        <v>2.37</v>
      </c>
      <c r="T64" s="38">
        <f t="shared" si="226"/>
        <v>3</v>
      </c>
      <c r="U64" s="39">
        <v>1.43</v>
      </c>
      <c r="V64" s="38">
        <f t="shared" si="227"/>
        <v>0</v>
      </c>
      <c r="W64" s="109">
        <f>-(((T64*S64)-T64)*0.06)</f>
        <v>-0.24660000000000001</v>
      </c>
      <c r="X64" s="109">
        <f t="shared" si="228"/>
        <v>3.8634000000000004</v>
      </c>
      <c r="Y64" s="116">
        <f t="shared" si="229"/>
        <v>-10.920100000000005</v>
      </c>
      <c r="Z64" s="121"/>
      <c r="AA64" s="119"/>
      <c r="AB64" s="113"/>
    </row>
    <row r="65" spans="1:28" outlineLevel="1" x14ac:dyDescent="0.2">
      <c r="A65" s="111"/>
      <c r="B65" s="115">
        <f t="shared" si="124"/>
        <v>60</v>
      </c>
      <c r="C65" s="36" t="s">
        <v>330</v>
      </c>
      <c r="D65" s="36" t="s">
        <v>77</v>
      </c>
      <c r="E65" s="86">
        <v>44163</v>
      </c>
      <c r="F65" s="74" t="s">
        <v>95</v>
      </c>
      <c r="G65" s="70" t="s">
        <v>52</v>
      </c>
      <c r="H65" s="70" t="s">
        <v>177</v>
      </c>
      <c r="I65" s="70">
        <v>1100</v>
      </c>
      <c r="J65" s="70" t="s">
        <v>224</v>
      </c>
      <c r="K65" s="70" t="s">
        <v>179</v>
      </c>
      <c r="L65" s="47" t="s">
        <v>11</v>
      </c>
      <c r="M65" s="12">
        <v>7</v>
      </c>
      <c r="N65" s="38">
        <v>2</v>
      </c>
      <c r="O65" s="39">
        <v>0</v>
      </c>
      <c r="P65" s="38">
        <v>0</v>
      </c>
      <c r="Q65" s="107">
        <f t="shared" si="1"/>
        <v>-2</v>
      </c>
      <c r="R65" s="105">
        <f t="shared" ref="R65" si="230">Q65+R64</f>
        <v>-8.57</v>
      </c>
      <c r="S65" s="12">
        <v>6.22</v>
      </c>
      <c r="T65" s="38">
        <f t="shared" ref="T65" si="231">N65</f>
        <v>2</v>
      </c>
      <c r="U65" s="39">
        <v>2.73</v>
      </c>
      <c r="V65" s="38">
        <f t="shared" ref="V65" si="232">P65</f>
        <v>0</v>
      </c>
      <c r="W65" s="109">
        <v>0</v>
      </c>
      <c r="X65" s="109">
        <f t="shared" ref="X65" si="233">ROUND(IF(OR($L65="1st",$L65="WON"),($S65*$T65)+($U65*$V65),IF(OR($L65="2nd",$L65="3rd"),IF($U65="NTD",0,($U65*$V65))))-($T65+$V65),2)+W65</f>
        <v>-2</v>
      </c>
      <c r="Y65" s="116">
        <f t="shared" ref="Y65" si="234">X65+Y64</f>
        <v>-12.920100000000005</v>
      </c>
      <c r="Z65" s="121"/>
      <c r="AA65" s="119"/>
      <c r="AB65" s="113"/>
    </row>
    <row r="66" spans="1:28" outlineLevel="1" x14ac:dyDescent="0.2">
      <c r="A66" s="111"/>
      <c r="B66" s="115">
        <f t="shared" si="124"/>
        <v>61</v>
      </c>
      <c r="C66" s="36" t="s">
        <v>331</v>
      </c>
      <c r="D66" s="36" t="s">
        <v>77</v>
      </c>
      <c r="E66" s="86">
        <v>44163</v>
      </c>
      <c r="F66" s="74" t="s">
        <v>95</v>
      </c>
      <c r="G66" s="70" t="s">
        <v>32</v>
      </c>
      <c r="H66" s="70" t="s">
        <v>75</v>
      </c>
      <c r="I66" s="70">
        <v>1500</v>
      </c>
      <c r="J66" s="70" t="s">
        <v>224</v>
      </c>
      <c r="K66" s="70" t="s">
        <v>179</v>
      </c>
      <c r="L66" s="47" t="s">
        <v>61</v>
      </c>
      <c r="M66" s="12">
        <v>11</v>
      </c>
      <c r="N66" s="38">
        <v>1</v>
      </c>
      <c r="O66" s="39">
        <v>0</v>
      </c>
      <c r="P66" s="38">
        <v>0</v>
      </c>
      <c r="Q66" s="107">
        <f t="shared" si="1"/>
        <v>-1</v>
      </c>
      <c r="R66" s="105">
        <f t="shared" ref="R66" si="235">Q66+R65</f>
        <v>-9.57</v>
      </c>
      <c r="S66" s="12">
        <v>11.09</v>
      </c>
      <c r="T66" s="38">
        <f t="shared" ref="T66" si="236">N66</f>
        <v>1</v>
      </c>
      <c r="U66" s="39">
        <v>3.41</v>
      </c>
      <c r="V66" s="38">
        <f t="shared" ref="V66" si="237">P66</f>
        <v>0</v>
      </c>
      <c r="W66" s="109">
        <v>0</v>
      </c>
      <c r="X66" s="109">
        <f t="shared" ref="X66" si="238">ROUND(IF(OR($L66="1st",$L66="WON"),($S66*$T66)+($U66*$V66),IF(OR($L66="2nd",$L66="3rd"),IF($U66="NTD",0,($U66*$V66))))-($T66+$V66),2)+W66</f>
        <v>-1</v>
      </c>
      <c r="Y66" s="116">
        <f t="shared" ref="Y66" si="239">X66+Y65</f>
        <v>-13.920100000000005</v>
      </c>
      <c r="Z66" s="121"/>
      <c r="AA66" s="119"/>
      <c r="AB66" s="113"/>
    </row>
    <row r="67" spans="1:28" x14ac:dyDescent="0.2">
      <c r="A67" s="111"/>
      <c r="B67" s="115">
        <f t="shared" si="124"/>
        <v>62</v>
      </c>
      <c r="C67" s="36" t="s">
        <v>320</v>
      </c>
      <c r="D67" s="36" t="s">
        <v>228</v>
      </c>
      <c r="E67" s="86">
        <v>44164</v>
      </c>
      <c r="F67" s="74" t="s">
        <v>46</v>
      </c>
      <c r="G67" s="70" t="s">
        <v>39</v>
      </c>
      <c r="H67" s="70" t="s">
        <v>70</v>
      </c>
      <c r="I67" s="70">
        <v>1200</v>
      </c>
      <c r="J67" s="70" t="s">
        <v>223</v>
      </c>
      <c r="K67" s="70" t="s">
        <v>118</v>
      </c>
      <c r="L67" s="47" t="s">
        <v>15</v>
      </c>
      <c r="M67" s="12">
        <f>6.5-(6.5*0.31)</f>
        <v>4.4849999999999994</v>
      </c>
      <c r="N67" s="38">
        <v>1.5</v>
      </c>
      <c r="O67" s="39">
        <f>2.4-(2.4*0.31)</f>
        <v>1.6559999999999999</v>
      </c>
      <c r="P67" s="38">
        <v>1.5</v>
      </c>
      <c r="Q67" s="107">
        <f>ROUND(IF(OR($L67="1st",$L67="WON"),($M67*$N67)+($O67*$P67),IF(OR($L67="2nd",$L67="3rd"),IF($O67="NTD",0,($O67*$P67))))-($N67+$P67),2)</f>
        <v>-0.52</v>
      </c>
      <c r="R67" s="105">
        <f t="shared" ref="R67" si="240">Q67+R66</f>
        <v>-10.09</v>
      </c>
      <c r="S67" s="12">
        <v>3.19</v>
      </c>
      <c r="T67" s="38">
        <f t="shared" ref="T67" si="241">N67</f>
        <v>1.5</v>
      </c>
      <c r="U67" s="39">
        <v>1.48</v>
      </c>
      <c r="V67" s="38">
        <f t="shared" ref="V67" si="242">P67</f>
        <v>1.5</v>
      </c>
      <c r="W67" s="109">
        <f>-(((V67*U67)-V67)*0.06)</f>
        <v>-4.3199999999999981E-2</v>
      </c>
      <c r="X67" s="109">
        <f t="shared" ref="X67" si="243">ROUND(IF(OR($L67="1st",$L67="WON"),($S67*$T67)+($U67*$V67),IF(OR($L67="2nd",$L67="3rd"),IF($U67="NTD",0,($U67*$V67))))-($T67+$V67),2)+W67</f>
        <v>-0.82320000000000004</v>
      </c>
      <c r="Y67" s="116">
        <f t="shared" ref="Y67" si="244">X67+Y66</f>
        <v>-14.743300000000005</v>
      </c>
      <c r="Z67" s="121"/>
      <c r="AA67" s="119"/>
      <c r="AB67" s="113"/>
    </row>
    <row r="68" spans="1:28" x14ac:dyDescent="0.2">
      <c r="A68" s="111"/>
      <c r="B68" s="88"/>
      <c r="C68" s="88"/>
      <c r="D68" s="88"/>
      <c r="E68" s="89"/>
      <c r="F68" s="104"/>
      <c r="G68" s="90"/>
      <c r="H68" s="90"/>
      <c r="I68" s="90"/>
      <c r="J68" s="90"/>
      <c r="K68" s="90"/>
      <c r="L68" s="91"/>
      <c r="M68" s="91"/>
      <c r="N68" s="91"/>
      <c r="O68" s="91"/>
      <c r="P68" s="91"/>
      <c r="Q68" s="108"/>
      <c r="R68" s="106"/>
      <c r="S68" s="91"/>
      <c r="T68" s="91"/>
      <c r="U68" s="91"/>
      <c r="V68" s="91"/>
      <c r="W68" s="110" t="s">
        <v>246</v>
      </c>
      <c r="X68" s="92"/>
      <c r="Y68" s="117"/>
      <c r="Z68" s="122"/>
      <c r="AA68" s="117"/>
      <c r="AB68" s="113"/>
    </row>
    <row r="69" spans="1:28" x14ac:dyDescent="0.2">
      <c r="X69"/>
      <c r="Y69"/>
      <c r="Z69" s="72"/>
      <c r="AA69"/>
    </row>
    <row r="70" spans="1:28" x14ac:dyDescent="0.2">
      <c r="O70" s="39"/>
      <c r="X70"/>
      <c r="Y70"/>
      <c r="Z70" s="72"/>
      <c r="AA70"/>
    </row>
    <row r="71" spans="1:28" x14ac:dyDescent="0.2">
      <c r="X71"/>
      <c r="Y71"/>
      <c r="Z71" s="72"/>
      <c r="AA71"/>
    </row>
  </sheetData>
  <sheetProtection algorithmName="SHA-512" hashValue="cXRhn+oDYC9doLunjy0ETSZQ83qYWlT6n7sWNDv+wliyFJtwetm9P31b4DPo1gOipI9cR+RqaT9fOdCbSxqp2Q==" saltValue="SU932ABTDSpO18jdNM+QDg==" spinCount="100000" sheet="1" objects="1" scenarios="1"/>
  <dataConsolidate/>
  <mergeCells count="13">
    <mergeCell ref="Z2:AA3"/>
    <mergeCell ref="C2:C3"/>
    <mergeCell ref="B2:B3"/>
    <mergeCell ref="S2:Y2"/>
    <mergeCell ref="M2:R2"/>
    <mergeCell ref="E2:E3"/>
    <mergeCell ref="D2:D3"/>
    <mergeCell ref="F2:F3"/>
    <mergeCell ref="G2:G3"/>
    <mergeCell ref="H2:H3"/>
    <mergeCell ref="I2:I3"/>
    <mergeCell ref="K2:K3"/>
    <mergeCell ref="L2:L3"/>
  </mergeCells>
  <pageMargins left="0.7" right="0.7" top="0.75" bottom="0.75" header="0" footer="0"/>
  <pageSetup paperSize="9" scale="4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Blackbook Overview</vt:lpstr>
      <vt:lpstr>Blackbook Results</vt:lpstr>
      <vt:lpstr>Tips Overview</vt:lpstr>
      <vt:lpstr>Tips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Braeden Barlow</dc:creator>
  <cp:lastModifiedBy>Braeden Barlow</cp:lastModifiedBy>
  <cp:lastPrinted>2020-10-11T02:31:10Z</cp:lastPrinted>
  <dcterms:created xsi:type="dcterms:W3CDTF">2019-11-14T09:05:19Z</dcterms:created>
  <dcterms:modified xsi:type="dcterms:W3CDTF">2020-11-30T12:13:48Z</dcterms:modified>
</cp:coreProperties>
</file>